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michal.jancik\Desktop\AKCE 2025\08. DEMOLICE PANELOVÉHO DOMU V HORNÍM PARKU\PŘÍLOHY K ZADÁVÁNÍ VÝBĚROVÉHO ŘÍZENÍ\Příloha č.6 - PD zadání\"/>
    </mc:Choice>
  </mc:AlternateContent>
  <xr:revisionPtr revIDLastSave="0" documentId="8_{3525F933-68FE-4241-A11C-DBDBF87331CA}" xr6:coauthVersionLast="47" xr6:coauthVersionMax="47" xr10:uidLastSave="{00000000-0000-0000-0000-000000000000}"/>
  <bookViews>
    <workbookView xWindow="-108" yWindow="-108" windowWidth="23256" windowHeight="12576" tabRatio="500" activeTab="1" xr2:uid="{00000000-000D-0000-FFFF-FFFF00000000}"/>
  </bookViews>
  <sheets>
    <sheet name="Vyplnění-manuál " sheetId="1" r:id="rId1"/>
    <sheet name="Krycí list rozpočtu" sheetId="2" r:id="rId2"/>
    <sheet name="VORN" sheetId="3" state="hidden" r:id="rId3"/>
    <sheet name="Rozpočet - objekty" sheetId="4" r:id="rId4"/>
    <sheet name="Stavební rozpočet" sheetId="5" r:id="rId5"/>
    <sheet name="Výkaz výměr" sheetId="6" r:id="rId6"/>
    <sheet name="Popisy - Komentáře RTS" sheetId="7" r:id="rId7"/>
    <sheet name="Krycí list rozpočtu (SO 01.1)" sheetId="8" r:id="rId8"/>
    <sheet name="VORN objektu (SO 01.1)" sheetId="9" state="hidden" r:id="rId9"/>
    <sheet name="Stavební rozpočet (SO 01.1)" sheetId="10" r:id="rId10"/>
    <sheet name="Výkaz výměr (SO 01.1)" sheetId="11" r:id="rId11"/>
    <sheet name="Krycí list rozpočtu (SO 01.2)" sheetId="12" r:id="rId12"/>
    <sheet name="VORN objektu (SO 01.2)" sheetId="13" state="hidden" r:id="rId13"/>
    <sheet name="Stavební rozpočet (SO 01.2)" sheetId="14" r:id="rId14"/>
    <sheet name="Výkaz výměr (SO 01.2)" sheetId="15" r:id="rId15"/>
    <sheet name="Krycí list rozpočtu (SO 01.3)" sheetId="16" r:id="rId16"/>
    <sheet name="VORN objektu (SO 01.3)" sheetId="17" state="hidden" r:id="rId17"/>
    <sheet name="Stavební rozpočet (SO 01.3)" sheetId="18" r:id="rId18"/>
    <sheet name="Výkaz výměr (SO 01.3)" sheetId="19" r:id="rId19"/>
    <sheet name="Krycí list rozpočtu (VORN)" sheetId="20" r:id="rId20"/>
    <sheet name="VORN objektu (VORN)" sheetId="21" state="hidden" r:id="rId21"/>
    <sheet name="Stavební rozpočet (VORN)" sheetId="22" r:id="rId22"/>
    <sheet name="Výkaz výměr (VORN)" sheetId="23" r:id="rId23"/>
    <sheet name="Krycí list rozpočtu (ZS)" sheetId="24" r:id="rId24"/>
    <sheet name="VORN objektu (ZS)" sheetId="25" state="hidden" r:id="rId25"/>
    <sheet name="Stavební rozpočet (ZS)" sheetId="26" r:id="rId26"/>
    <sheet name="Výkaz výměr (ZS)" sheetId="27" r:id="rId27"/>
  </sheets>
  <definedNames>
    <definedName name="_xlnm_Print_Area" localSheetId="0">'Vyplnění-manuál '!$A$1:$I$105</definedName>
    <definedName name="Excel_BuiltIn_Print_Area" localSheetId="0">'Vyplnění-manuál '!$A$1:$I$102</definedName>
    <definedName name="_xlnm.Print_Titles" localSheetId="6">'Popisy - Komentáře RTS'!$1:$1</definedName>
    <definedName name="_xlnm.Print_Titles" localSheetId="4">'Stavební rozpočet'!$10:$11</definedName>
    <definedName name="_xlnm.Print_Titles" localSheetId="9">'Stavební rozpočet (SO 01.1)'!$10:$11</definedName>
    <definedName name="_xlnm.Print_Titles" localSheetId="25">'Stavební rozpočet (ZS)'!$10:$11</definedName>
    <definedName name="_xlnm.Print_Titles" localSheetId="5">'Výkaz výměr'!$10:$10</definedName>
    <definedName name="_xlnm.Print_Titles" localSheetId="10">'Výkaz výměr (SO 01.1)'!$10:$10</definedName>
    <definedName name="_xlnm.Print_Titles" localSheetId="18">'Výkaz výměr (SO 01.3)'!$10:$10</definedName>
    <definedName name="_xlnm.Print_Titles" localSheetId="26">'Výkaz výměr (ZS)'!$10:$10</definedName>
    <definedName name="_xlnm.Print_Area" localSheetId="1">'Krycí list rozpočtu'!$A$1:$I$76</definedName>
    <definedName name="_xlnm.Print_Area" localSheetId="7">'Krycí list rozpočtu (SO 01.1)'!$A$1:$I$33</definedName>
    <definedName name="_xlnm.Print_Area" localSheetId="11">'Krycí list rozpočtu (SO 01.2)'!$A$1:$I$33</definedName>
    <definedName name="_xlnm.Print_Area" localSheetId="15">'Krycí list rozpočtu (SO 01.3)'!$A$1:$I$33</definedName>
    <definedName name="_xlnm.Print_Area" localSheetId="19">'Krycí list rozpočtu (VORN)'!$A$1:$I$33</definedName>
    <definedName name="_xlnm.Print_Area" localSheetId="23">'Krycí list rozpočtu (ZS)'!$A$1:$I$33</definedName>
    <definedName name="_xlnm.Print_Area" localSheetId="6">'Popisy - Komentáře RTS'!$A$1:$I$205</definedName>
    <definedName name="_xlnm.Print_Area" localSheetId="3">'Rozpočet - objekty'!$A$1:$L$27</definedName>
    <definedName name="_xlnm.Print_Area" localSheetId="4">'Stavební rozpočet'!$A$1:$P$216</definedName>
    <definedName name="_xlnm.Print_Area" localSheetId="9">'Stavební rozpočet (SO 01.1)'!$A$1:$P$116</definedName>
    <definedName name="_xlnm.Print_Area" localSheetId="13">'Stavební rozpočet (SO 01.2)'!$A$1:$P$30</definedName>
    <definedName name="_xlnm.Print_Area" localSheetId="17">'Stavební rozpočet (SO 01.3)'!$A$1:$P$47</definedName>
    <definedName name="_xlnm.Print_Area" localSheetId="21">'Stavební rozpočet (VORN)'!$A$1:$P$20</definedName>
    <definedName name="_xlnm.Print_Area" localSheetId="25">'Stavební rozpočet (ZS)'!$A$1:$P$51</definedName>
    <definedName name="_xlnm.Print_Area" localSheetId="5">'Výkaz výměr'!$A$1:$H$392</definedName>
    <definedName name="_xlnm.Print_Area" localSheetId="10">'Výkaz výměr (SO 01.1)'!$A$1:$H$221</definedName>
    <definedName name="_xlnm.Print_Area" localSheetId="14">'Výkaz výměr (SO 01.2)'!$A$1:$H$41</definedName>
    <definedName name="_xlnm.Print_Area" localSheetId="18">'Výkaz výměr (SO 01.3)'!$A$1:$H$77</definedName>
    <definedName name="_xlnm.Print_Area" localSheetId="22">'Výkaz výměr (VORN)'!$A$1:$H$23</definedName>
    <definedName name="_xlnm.Print_Area" localSheetId="26">'Výkaz výměr (ZS)'!$A$1:$H$82</definedName>
    <definedName name="_xlnm.Print_Area" localSheetId="0">'Vyplnění-manuál '!$A$1:$I$97</definedName>
    <definedName name="vorn_sum">VORN!$I$36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F8" i="27" l="1"/>
  <c r="C8" i="27"/>
  <c r="F6" i="27"/>
  <c r="C6" i="27"/>
  <c r="F4" i="27"/>
  <c r="C4" i="27"/>
  <c r="F2" i="27"/>
  <c r="C2" i="27"/>
  <c r="BW50" i="26"/>
  <c r="AP50" i="26"/>
  <c r="BI50" i="26" s="1"/>
  <c r="AC50" i="26" s="1"/>
  <c r="AK50" i="26"/>
  <c r="AT48" i="26" s="1"/>
  <c r="AJ50" i="26"/>
  <c r="AH50" i="26"/>
  <c r="AG50" i="26"/>
  <c r="AF50" i="26"/>
  <c r="AE50" i="26"/>
  <c r="AD50" i="26"/>
  <c r="Z50" i="26"/>
  <c r="N50" i="26"/>
  <c r="L50" i="26"/>
  <c r="H50" i="26"/>
  <c r="AO50" i="26" s="1"/>
  <c r="G50" i="26"/>
  <c r="BJ50" i="26" s="1"/>
  <c r="BW49" i="26"/>
  <c r="AP49" i="26"/>
  <c r="K49" i="26" s="1"/>
  <c r="AO49" i="26"/>
  <c r="BH49" i="26" s="1"/>
  <c r="AF49" i="26" s="1"/>
  <c r="AK49" i="26"/>
  <c r="AJ49" i="26"/>
  <c r="AS48" i="26" s="1"/>
  <c r="AH49" i="26"/>
  <c r="AE49" i="26"/>
  <c r="AD49" i="26"/>
  <c r="AC49" i="26"/>
  <c r="AB49" i="26"/>
  <c r="Z49" i="26"/>
  <c r="O49" i="26"/>
  <c r="BF49" i="26" s="1"/>
  <c r="N49" i="26"/>
  <c r="L49" i="26"/>
  <c r="H49" i="26"/>
  <c r="BD49" i="26" s="1"/>
  <c r="G49" i="26"/>
  <c r="BW47" i="26"/>
  <c r="AW47" i="26"/>
  <c r="AO47" i="26"/>
  <c r="BH47" i="26" s="1"/>
  <c r="AB47" i="26" s="1"/>
  <c r="AK47" i="26"/>
  <c r="AJ47" i="26"/>
  <c r="AH47" i="26"/>
  <c r="AG47" i="26"/>
  <c r="AF47" i="26"/>
  <c r="AE47" i="26"/>
  <c r="AD47" i="26"/>
  <c r="Z47" i="26"/>
  <c r="O47" i="26"/>
  <c r="BF47" i="26" s="1"/>
  <c r="N47" i="26"/>
  <c r="H47" i="26"/>
  <c r="BD47" i="26" s="1"/>
  <c r="G47" i="26"/>
  <c r="BJ47" i="26" s="1"/>
  <c r="BW46" i="26"/>
  <c r="BD46" i="26"/>
  <c r="AK46" i="26"/>
  <c r="AJ46" i="26"/>
  <c r="AH46" i="26"/>
  <c r="AG46" i="26"/>
  <c r="AF46" i="26"/>
  <c r="AE46" i="26"/>
  <c r="AD46" i="26"/>
  <c r="Z46" i="26"/>
  <c r="N46" i="26"/>
  <c r="H46" i="26"/>
  <c r="BJ46" i="26" s="1"/>
  <c r="G46" i="26"/>
  <c r="BW45" i="26"/>
  <c r="AK45" i="26"/>
  <c r="AJ45" i="26"/>
  <c r="AH45" i="26"/>
  <c r="AG45" i="26"/>
  <c r="AF45" i="26"/>
  <c r="AE45" i="26"/>
  <c r="AD45" i="26"/>
  <c r="AC45" i="26"/>
  <c r="AB45" i="26"/>
  <c r="N45" i="26"/>
  <c r="H45" i="26"/>
  <c r="G45" i="26"/>
  <c r="BW44" i="26"/>
  <c r="BH44" i="26"/>
  <c r="AP44" i="26"/>
  <c r="AO44" i="26"/>
  <c r="AK44" i="26"/>
  <c r="AJ44" i="26"/>
  <c r="AH44" i="26"/>
  <c r="AG44" i="26"/>
  <c r="AF44" i="26"/>
  <c r="AE44" i="26"/>
  <c r="AD44" i="26"/>
  <c r="AC44" i="26"/>
  <c r="AB44" i="26"/>
  <c r="N44" i="26"/>
  <c r="H44" i="26"/>
  <c r="BD44" i="26" s="1"/>
  <c r="G44" i="26"/>
  <c r="BW42" i="26"/>
  <c r="AW42" i="26"/>
  <c r="AO42" i="26"/>
  <c r="BH42" i="26" s="1"/>
  <c r="AK42" i="26"/>
  <c r="AJ42" i="26"/>
  <c r="AH42" i="26"/>
  <c r="AG42" i="26"/>
  <c r="AF42" i="26"/>
  <c r="AE42" i="26"/>
  <c r="AD42" i="26"/>
  <c r="AC42" i="26"/>
  <c r="AB42" i="26"/>
  <c r="O42" i="26"/>
  <c r="BF42" i="26" s="1"/>
  <c r="N42" i="26"/>
  <c r="J42" i="26"/>
  <c r="H42" i="26"/>
  <c r="BD42" i="26" s="1"/>
  <c r="G42" i="26"/>
  <c r="BJ42" i="26" s="1"/>
  <c r="Z42" i="26" s="1"/>
  <c r="BW41" i="26"/>
  <c r="BJ41" i="26"/>
  <c r="AK41" i="26"/>
  <c r="AJ41" i="26"/>
  <c r="AH41" i="26"/>
  <c r="AG41" i="26"/>
  <c r="AF41" i="26"/>
  <c r="AC41" i="26"/>
  <c r="AB41" i="26"/>
  <c r="Z41" i="26"/>
  <c r="N41" i="26"/>
  <c r="H41" i="26"/>
  <c r="BD41" i="26" s="1"/>
  <c r="G41" i="26"/>
  <c r="BW40" i="26"/>
  <c r="BJ40" i="26"/>
  <c r="AP40" i="26"/>
  <c r="BI40" i="26" s="1"/>
  <c r="AE40" i="26" s="1"/>
  <c r="AK40" i="26"/>
  <c r="AJ40" i="26"/>
  <c r="AH40" i="26"/>
  <c r="AG40" i="26"/>
  <c r="AF40" i="26"/>
  <c r="AC40" i="26"/>
  <c r="AB40" i="26"/>
  <c r="Z40" i="26"/>
  <c r="N40" i="26"/>
  <c r="M40" i="26"/>
  <c r="L40" i="26"/>
  <c r="AL40" i="26" s="1"/>
  <c r="H40" i="26"/>
  <c r="AO40" i="26" s="1"/>
  <c r="G40" i="26"/>
  <c r="BW39" i="26"/>
  <c r="AX39" i="26"/>
  <c r="AP39" i="26"/>
  <c r="BI39" i="26" s="1"/>
  <c r="AO39" i="26"/>
  <c r="AK39" i="26"/>
  <c r="AJ39" i="26"/>
  <c r="AH39" i="26"/>
  <c r="AG39" i="26"/>
  <c r="AF39" i="26"/>
  <c r="AE39" i="26"/>
  <c r="AC39" i="26"/>
  <c r="AB39" i="26"/>
  <c r="Z39" i="26"/>
  <c r="O39" i="26"/>
  <c r="BF39" i="26" s="1"/>
  <c r="N39" i="26"/>
  <c r="K39" i="26"/>
  <c r="H39" i="26"/>
  <c r="BD39" i="26" s="1"/>
  <c r="G39" i="26"/>
  <c r="L39" i="26" s="1"/>
  <c r="BW38" i="26"/>
  <c r="BH38" i="26"/>
  <c r="AD38" i="26" s="1"/>
  <c r="AO38" i="26"/>
  <c r="AK38" i="26"/>
  <c r="AJ38" i="26"/>
  <c r="AH38" i="26"/>
  <c r="AG38" i="26"/>
  <c r="AF38" i="26"/>
  <c r="AC38" i="26"/>
  <c r="AB38" i="26"/>
  <c r="Z38" i="26"/>
  <c r="N38" i="26"/>
  <c r="O38" i="26" s="1"/>
  <c r="BF38" i="26" s="1"/>
  <c r="H38" i="26"/>
  <c r="BD38" i="26" s="1"/>
  <c r="G38" i="26"/>
  <c r="BJ38" i="26" s="1"/>
  <c r="BW37" i="26"/>
  <c r="BJ37" i="26"/>
  <c r="BD37" i="26"/>
  <c r="AK37" i="26"/>
  <c r="AT33" i="26" s="1"/>
  <c r="AJ37" i="26"/>
  <c r="AH37" i="26"/>
  <c r="AG37" i="26"/>
  <c r="AF37" i="26"/>
  <c r="AC37" i="26"/>
  <c r="AB37" i="26"/>
  <c r="Z37" i="26"/>
  <c r="N37" i="26"/>
  <c r="H37" i="26"/>
  <c r="G37" i="26"/>
  <c r="BW36" i="26"/>
  <c r="BD36" i="26"/>
  <c r="AK36" i="26"/>
  <c r="AJ36" i="26"/>
  <c r="AH36" i="26"/>
  <c r="AG36" i="26"/>
  <c r="AF36" i="26"/>
  <c r="AC36" i="26"/>
  <c r="AB36" i="26"/>
  <c r="Z36" i="26"/>
  <c r="N36" i="26"/>
  <c r="H36" i="26"/>
  <c r="G36" i="26"/>
  <c r="BW35" i="26"/>
  <c r="AP35" i="26"/>
  <c r="AO35" i="26"/>
  <c r="AK35" i="26"/>
  <c r="AJ35" i="26"/>
  <c r="AH35" i="26"/>
  <c r="AG35" i="26"/>
  <c r="AF35" i="26"/>
  <c r="AC35" i="26"/>
  <c r="AB35" i="26"/>
  <c r="Z35" i="26"/>
  <c r="N35" i="26"/>
  <c r="H35" i="26"/>
  <c r="BD35" i="26" s="1"/>
  <c r="G35" i="26"/>
  <c r="BW34" i="26"/>
  <c r="AW34" i="26"/>
  <c r="AO34" i="26"/>
  <c r="BH34" i="26" s="1"/>
  <c r="AD34" i="26" s="1"/>
  <c r="AK34" i="26"/>
  <c r="AJ34" i="26"/>
  <c r="AH34" i="26"/>
  <c r="AG34" i="26"/>
  <c r="AF34" i="26"/>
  <c r="AC34" i="26"/>
  <c r="AB34" i="26"/>
  <c r="Z34" i="26"/>
  <c r="O34" i="26"/>
  <c r="BF34" i="26" s="1"/>
  <c r="N34" i="26"/>
  <c r="J34" i="26"/>
  <c r="H34" i="26"/>
  <c r="BD34" i="26" s="1"/>
  <c r="G34" i="26"/>
  <c r="BJ34" i="26" s="1"/>
  <c r="BW32" i="26"/>
  <c r="BJ32" i="26"/>
  <c r="Z32" i="26" s="1"/>
  <c r="AK32" i="26"/>
  <c r="AJ32" i="26"/>
  <c r="AH32" i="26"/>
  <c r="AG32" i="26"/>
  <c r="AF32" i="26"/>
  <c r="AE32" i="26"/>
  <c r="AD32" i="26"/>
  <c r="AC32" i="26"/>
  <c r="AB32" i="26"/>
  <c r="N32" i="26"/>
  <c r="H32" i="26"/>
  <c r="G32" i="26"/>
  <c r="BW31" i="26"/>
  <c r="AP31" i="26"/>
  <c r="AK31" i="26"/>
  <c r="AJ31" i="26"/>
  <c r="AH31" i="26"/>
  <c r="AG31" i="26"/>
  <c r="AF31" i="26"/>
  <c r="AE31" i="26"/>
  <c r="AD31" i="26"/>
  <c r="AC31" i="26"/>
  <c r="AB31" i="26"/>
  <c r="N31" i="26"/>
  <c r="H31" i="26"/>
  <c r="AO31" i="26" s="1"/>
  <c r="G31" i="26"/>
  <c r="L31" i="26" s="1"/>
  <c r="BW30" i="26"/>
  <c r="AO30" i="26"/>
  <c r="BH30" i="26" s="1"/>
  <c r="AK30" i="26"/>
  <c r="AJ30" i="26"/>
  <c r="AH30" i="26"/>
  <c r="AG30" i="26"/>
  <c r="AF30" i="26"/>
  <c r="AE30" i="26"/>
  <c r="AD30" i="26"/>
  <c r="AC30" i="26"/>
  <c r="AB30" i="26"/>
  <c r="O30" i="26"/>
  <c r="BF30" i="26" s="1"/>
  <c r="N30" i="26"/>
  <c r="H30" i="26"/>
  <c r="BJ30" i="26" s="1"/>
  <c r="Z30" i="26" s="1"/>
  <c r="G30" i="26"/>
  <c r="BW29" i="26"/>
  <c r="AK29" i="26"/>
  <c r="AJ29" i="26"/>
  <c r="AH29" i="26"/>
  <c r="AG29" i="26"/>
  <c r="AF29" i="26"/>
  <c r="AE29" i="26"/>
  <c r="AD29" i="26"/>
  <c r="Z29" i="26"/>
  <c r="N29" i="26"/>
  <c r="H29" i="26"/>
  <c r="BJ29" i="26" s="1"/>
  <c r="G29" i="26"/>
  <c r="BW28" i="26"/>
  <c r="AK28" i="26"/>
  <c r="AJ28" i="26"/>
  <c r="AH28" i="26"/>
  <c r="AG28" i="26"/>
  <c r="AF28" i="26"/>
  <c r="AE28" i="26"/>
  <c r="AD28" i="26"/>
  <c r="AC28" i="26"/>
  <c r="AB28" i="26"/>
  <c r="N28" i="26"/>
  <c r="H28" i="26"/>
  <c r="G28" i="26"/>
  <c r="BW27" i="26"/>
  <c r="AP27" i="26"/>
  <c r="AO27" i="26"/>
  <c r="AK27" i="26"/>
  <c r="AJ27" i="26"/>
  <c r="AH27" i="26"/>
  <c r="AG27" i="26"/>
  <c r="AF27" i="26"/>
  <c r="AE27" i="26"/>
  <c r="AD27" i="26"/>
  <c r="AC27" i="26"/>
  <c r="AB27" i="26"/>
  <c r="N27" i="26"/>
  <c r="H27" i="26"/>
  <c r="BD27" i="26" s="1"/>
  <c r="G27" i="26"/>
  <c r="BW26" i="26"/>
  <c r="AO26" i="26"/>
  <c r="AK26" i="26"/>
  <c r="AJ26" i="26"/>
  <c r="AH26" i="26"/>
  <c r="AG26" i="26"/>
  <c r="AF26" i="26"/>
  <c r="AE26" i="26"/>
  <c r="AD26" i="26"/>
  <c r="AC26" i="26"/>
  <c r="AB26" i="26"/>
  <c r="O26" i="26"/>
  <c r="BF26" i="26" s="1"/>
  <c r="N26" i="26"/>
  <c r="H26" i="26"/>
  <c r="BJ26" i="26" s="1"/>
  <c r="Z26" i="26" s="1"/>
  <c r="G26" i="26"/>
  <c r="BW25" i="26"/>
  <c r="AK25" i="26"/>
  <c r="AJ25" i="26"/>
  <c r="AH25" i="26"/>
  <c r="AG25" i="26"/>
  <c r="AF25" i="26"/>
  <c r="AE25" i="26"/>
  <c r="AD25" i="26"/>
  <c r="Z25" i="26"/>
  <c r="N25" i="26"/>
  <c r="H25" i="26"/>
  <c r="G25" i="26"/>
  <c r="BW24" i="26"/>
  <c r="BJ24" i="26"/>
  <c r="AK24" i="26"/>
  <c r="AJ24" i="26"/>
  <c r="AH24" i="26"/>
  <c r="AG24" i="26"/>
  <c r="AF24" i="26"/>
  <c r="AE24" i="26"/>
  <c r="AD24" i="26"/>
  <c r="Z24" i="26"/>
  <c r="N24" i="26"/>
  <c r="M24" i="26"/>
  <c r="L24" i="26"/>
  <c r="AL24" i="26" s="1"/>
  <c r="H24" i="26"/>
  <c r="AO24" i="26" s="1"/>
  <c r="G24" i="26"/>
  <c r="BW23" i="26"/>
  <c r="AX23" i="26"/>
  <c r="AP23" i="26"/>
  <c r="AO23" i="26"/>
  <c r="AK23" i="26"/>
  <c r="AJ23" i="26"/>
  <c r="AH23" i="26"/>
  <c r="AG23" i="26"/>
  <c r="AF23" i="26"/>
  <c r="AE23" i="26"/>
  <c r="AD23" i="26"/>
  <c r="Z23" i="26"/>
  <c r="O23" i="26"/>
  <c r="BF23" i="26" s="1"/>
  <c r="N23" i="26"/>
  <c r="J23" i="26"/>
  <c r="H23" i="26"/>
  <c r="BD23" i="26" s="1"/>
  <c r="G23" i="26"/>
  <c r="K23" i="26" s="1"/>
  <c r="BW22" i="26"/>
  <c r="BJ22" i="26"/>
  <c r="AO22" i="26"/>
  <c r="AK22" i="26"/>
  <c r="AJ22" i="26"/>
  <c r="AH22" i="26"/>
  <c r="AG22" i="26"/>
  <c r="AF22" i="26"/>
  <c r="AE22" i="26"/>
  <c r="AD22" i="26"/>
  <c r="Z22" i="26"/>
  <c r="O22" i="26"/>
  <c r="BF22" i="26" s="1"/>
  <c r="N22" i="26"/>
  <c r="H22" i="26"/>
  <c r="BD22" i="26" s="1"/>
  <c r="G22" i="26"/>
  <c r="BW21" i="26"/>
  <c r="AK21" i="26"/>
  <c r="AJ21" i="26"/>
  <c r="AH21" i="26"/>
  <c r="AG21" i="26"/>
  <c r="AF21" i="26"/>
  <c r="AE21" i="26"/>
  <c r="AD21" i="26"/>
  <c r="Z21" i="26"/>
  <c r="N21" i="26"/>
  <c r="H21" i="26"/>
  <c r="BD21" i="26" s="1"/>
  <c r="G21" i="26"/>
  <c r="BJ21" i="26" s="1"/>
  <c r="BW20" i="26"/>
  <c r="AK20" i="26"/>
  <c r="AT19" i="26" s="1"/>
  <c r="AJ20" i="26"/>
  <c r="AH20" i="26"/>
  <c r="AG20" i="26"/>
  <c r="AF20" i="26"/>
  <c r="AE20" i="26"/>
  <c r="AD20" i="26"/>
  <c r="Z20" i="26"/>
  <c r="N20" i="26"/>
  <c r="H20" i="26"/>
  <c r="G20" i="26"/>
  <c r="AS19" i="26"/>
  <c r="BW18" i="26"/>
  <c r="AP18" i="26"/>
  <c r="AK18" i="26"/>
  <c r="AJ18" i="26"/>
  <c r="AH18" i="26"/>
  <c r="AE18" i="26"/>
  <c r="AD18" i="26"/>
  <c r="AC18" i="26"/>
  <c r="AB18" i="26"/>
  <c r="Z18" i="26"/>
  <c r="N18" i="26"/>
  <c r="H18" i="26"/>
  <c r="AO18" i="26" s="1"/>
  <c r="G18" i="26"/>
  <c r="BW17" i="26"/>
  <c r="AO17" i="26"/>
  <c r="J17" i="26" s="1"/>
  <c r="AK17" i="26"/>
  <c r="AJ17" i="26"/>
  <c r="AH17" i="26"/>
  <c r="AE17" i="26"/>
  <c r="AD17" i="26"/>
  <c r="AC17" i="26"/>
  <c r="AB17" i="26"/>
  <c r="Z17" i="26"/>
  <c r="O17" i="26"/>
  <c r="BF17" i="26" s="1"/>
  <c r="N17" i="26"/>
  <c r="H17" i="26"/>
  <c r="BD17" i="26" s="1"/>
  <c r="G17" i="26"/>
  <c r="AW17" i="26" s="1"/>
  <c r="BW16" i="26"/>
  <c r="AK16" i="26"/>
  <c r="AJ16" i="26"/>
  <c r="AH16" i="26"/>
  <c r="AG16" i="26"/>
  <c r="AF16" i="26"/>
  <c r="AE16" i="26"/>
  <c r="AD16" i="26"/>
  <c r="Z16" i="26"/>
  <c r="N16" i="26"/>
  <c r="H16" i="26"/>
  <c r="BD16" i="26" s="1"/>
  <c r="G16" i="26"/>
  <c r="BJ16" i="26" s="1"/>
  <c r="AT15" i="26"/>
  <c r="BW14" i="26"/>
  <c r="AK14" i="26"/>
  <c r="AJ14" i="26"/>
  <c r="AH14" i="26"/>
  <c r="AG14" i="26"/>
  <c r="AF14" i="26"/>
  <c r="AE14" i="26"/>
  <c r="AD14" i="26"/>
  <c r="Z14" i="26"/>
  <c r="N14" i="26"/>
  <c r="H14" i="26"/>
  <c r="G14" i="26"/>
  <c r="AS13" i="26"/>
  <c r="K8" i="26"/>
  <c r="H8" i="26"/>
  <c r="D8" i="26"/>
  <c r="K6" i="26"/>
  <c r="H6" i="26"/>
  <c r="D6" i="26"/>
  <c r="K4" i="26"/>
  <c r="H4" i="26"/>
  <c r="D4" i="26"/>
  <c r="K2" i="26"/>
  <c r="H2" i="26"/>
  <c r="D2" i="26"/>
  <c r="AU1" i="26"/>
  <c r="AT1" i="26"/>
  <c r="AS1" i="26"/>
  <c r="I35" i="25"/>
  <c r="I36" i="25" s="1"/>
  <c r="I23" i="24" s="1"/>
  <c r="I26" i="25"/>
  <c r="I25" i="25"/>
  <c r="I24" i="25"/>
  <c r="I23" i="25"/>
  <c r="I22" i="25"/>
  <c r="I21" i="25"/>
  <c r="I18" i="25"/>
  <c r="I17" i="25"/>
  <c r="I16" i="25"/>
  <c r="I15" i="25"/>
  <c r="I10" i="25"/>
  <c r="F10" i="25"/>
  <c r="C10" i="25"/>
  <c r="F8" i="25"/>
  <c r="C8" i="25"/>
  <c r="F6" i="25"/>
  <c r="C6" i="25"/>
  <c r="F4" i="25"/>
  <c r="C4" i="25"/>
  <c r="F2" i="25"/>
  <c r="C2" i="25"/>
  <c r="F22" i="24"/>
  <c r="I19" i="24"/>
  <c r="I18" i="24"/>
  <c r="I17" i="24"/>
  <c r="I16" i="24"/>
  <c r="F16" i="24"/>
  <c r="I15" i="24"/>
  <c r="F15" i="24"/>
  <c r="I14" i="24"/>
  <c r="F14" i="24"/>
  <c r="I10" i="24"/>
  <c r="F10" i="24"/>
  <c r="C10" i="24"/>
  <c r="F8" i="24"/>
  <c r="C8" i="24"/>
  <c r="F6" i="24"/>
  <c r="C6" i="24"/>
  <c r="F4" i="24"/>
  <c r="C4" i="24"/>
  <c r="F2" i="24"/>
  <c r="C2" i="24"/>
  <c r="F8" i="23"/>
  <c r="C8" i="23"/>
  <c r="F6" i="23"/>
  <c r="C6" i="23"/>
  <c r="F4" i="23"/>
  <c r="C4" i="23"/>
  <c r="F2" i="23"/>
  <c r="C2" i="23"/>
  <c r="BW19" i="22"/>
  <c r="AK19" i="22"/>
  <c r="AJ19" i="22"/>
  <c r="AH19" i="22"/>
  <c r="AE19" i="22"/>
  <c r="AD19" i="22"/>
  <c r="AC19" i="22"/>
  <c r="C15" i="20" s="1"/>
  <c r="AB19" i="22"/>
  <c r="Z19" i="22"/>
  <c r="N19" i="22"/>
  <c r="H19" i="22"/>
  <c r="BD19" i="22" s="1"/>
  <c r="BW18" i="22"/>
  <c r="BD18" i="22"/>
  <c r="AK18" i="22"/>
  <c r="AJ18" i="22"/>
  <c r="AH18" i="22"/>
  <c r="AE18" i="22"/>
  <c r="AD18" i="22"/>
  <c r="AC18" i="22"/>
  <c r="AB18" i="22"/>
  <c r="Z18" i="22"/>
  <c r="N18" i="22"/>
  <c r="H18" i="22"/>
  <c r="BW17" i="22"/>
  <c r="BI17" i="22"/>
  <c r="AG17" i="22" s="1"/>
  <c r="AP17" i="22"/>
  <c r="AK17" i="22"/>
  <c r="AJ17" i="22"/>
  <c r="AH17" i="22"/>
  <c r="AE17" i="22"/>
  <c r="AD17" i="22"/>
  <c r="AC17" i="22"/>
  <c r="AB17" i="22"/>
  <c r="Z17" i="22"/>
  <c r="N17" i="22"/>
  <c r="L17" i="22"/>
  <c r="H17" i="22"/>
  <c r="AO17" i="22" s="1"/>
  <c r="G17" i="22"/>
  <c r="BW16" i="22"/>
  <c r="BH16" i="22"/>
  <c r="AF16" i="22" s="1"/>
  <c r="AO16" i="22"/>
  <c r="AK16" i="22"/>
  <c r="AJ16" i="22"/>
  <c r="AH16" i="22"/>
  <c r="AE16" i="22"/>
  <c r="AD16" i="22"/>
  <c r="AC16" i="22"/>
  <c r="AB16" i="22"/>
  <c r="Z16" i="22"/>
  <c r="O16" i="22"/>
  <c r="BF16" i="22" s="1"/>
  <c r="N16" i="22"/>
  <c r="H16" i="22"/>
  <c r="BD16" i="22" s="1"/>
  <c r="G16" i="22"/>
  <c r="BW15" i="22"/>
  <c r="AP15" i="22"/>
  <c r="AK15" i="22"/>
  <c r="AT13" i="22" s="1"/>
  <c r="AJ15" i="22"/>
  <c r="C25" i="20" s="1"/>
  <c r="AH15" i="22"/>
  <c r="AE15" i="22"/>
  <c r="C17" i="20" s="1"/>
  <c r="AD15" i="22"/>
  <c r="AC15" i="22"/>
  <c r="AB15" i="22"/>
  <c r="Z15" i="22"/>
  <c r="N15" i="22"/>
  <c r="L15" i="22"/>
  <c r="H15" i="22"/>
  <c r="BD15" i="22" s="1"/>
  <c r="G15" i="22"/>
  <c r="BW14" i="22"/>
  <c r="BH14" i="22"/>
  <c r="AF14" i="22" s="1"/>
  <c r="AX14" i="22"/>
  <c r="AP14" i="22"/>
  <c r="AO14" i="22"/>
  <c r="AK14" i="22"/>
  <c r="AJ14" i="22"/>
  <c r="AH14" i="22"/>
  <c r="C20" i="20" s="1"/>
  <c r="AE14" i="22"/>
  <c r="AD14" i="22"/>
  <c r="C16" i="20" s="1"/>
  <c r="AC14" i="22"/>
  <c r="AB14" i="22"/>
  <c r="Z14" i="22"/>
  <c r="O14" i="22"/>
  <c r="N14" i="22"/>
  <c r="K14" i="22"/>
  <c r="H14" i="22"/>
  <c r="BD14" i="22" s="1"/>
  <c r="G14" i="22"/>
  <c r="AW14" i="22" s="1"/>
  <c r="K8" i="22"/>
  <c r="H8" i="22"/>
  <c r="D8" i="22"/>
  <c r="K6" i="22"/>
  <c r="H6" i="22"/>
  <c r="D6" i="22"/>
  <c r="K4" i="22"/>
  <c r="H4" i="22"/>
  <c r="D4" i="22"/>
  <c r="K2" i="22"/>
  <c r="H2" i="22"/>
  <c r="D2" i="22"/>
  <c r="AU1" i="22"/>
  <c r="AT1" i="22"/>
  <c r="AS1" i="22"/>
  <c r="I36" i="21"/>
  <c r="I35" i="21"/>
  <c r="I26" i="21"/>
  <c r="I19" i="20" s="1"/>
  <c r="I25" i="21"/>
  <c r="I24" i="21"/>
  <c r="I23" i="21"/>
  <c r="I22" i="21"/>
  <c r="I21" i="21"/>
  <c r="I17" i="21"/>
  <c r="I16" i="21"/>
  <c r="I15" i="21"/>
  <c r="I18" i="21" s="1"/>
  <c r="I10" i="21"/>
  <c r="F10" i="21"/>
  <c r="C10" i="21"/>
  <c r="F8" i="21"/>
  <c r="C8" i="21"/>
  <c r="F6" i="21"/>
  <c r="C6" i="21"/>
  <c r="F4" i="21"/>
  <c r="C4" i="21"/>
  <c r="F2" i="21"/>
  <c r="C2" i="21"/>
  <c r="C26" i="20"/>
  <c r="F26" i="20" s="1"/>
  <c r="I23" i="20"/>
  <c r="C21" i="20"/>
  <c r="I18" i="20"/>
  <c r="I17" i="20"/>
  <c r="I16" i="20"/>
  <c r="F16" i="20"/>
  <c r="F15" i="20"/>
  <c r="I14" i="20"/>
  <c r="F14" i="20"/>
  <c r="F22" i="20" s="1"/>
  <c r="C14" i="20"/>
  <c r="I10" i="20"/>
  <c r="F10" i="20"/>
  <c r="C10" i="20"/>
  <c r="F8" i="20"/>
  <c r="C8" i="20"/>
  <c r="F6" i="20"/>
  <c r="C6" i="20"/>
  <c r="F4" i="20"/>
  <c r="C4" i="20"/>
  <c r="F2" i="20"/>
  <c r="C2" i="20"/>
  <c r="F8" i="19"/>
  <c r="C8" i="19"/>
  <c r="F6" i="19"/>
  <c r="C6" i="19"/>
  <c r="F4" i="19"/>
  <c r="C4" i="19"/>
  <c r="F2" i="19"/>
  <c r="C2" i="19"/>
  <c r="BW46" i="18"/>
  <c r="AP46" i="18"/>
  <c r="AK46" i="18"/>
  <c r="AJ46" i="18"/>
  <c r="AS43" i="18" s="1"/>
  <c r="AH46" i="18"/>
  <c r="AG46" i="18"/>
  <c r="AF46" i="18"/>
  <c r="AE46" i="18"/>
  <c r="AD46" i="18"/>
  <c r="AC46" i="18"/>
  <c r="AB46" i="18"/>
  <c r="N46" i="18"/>
  <c r="L46" i="18"/>
  <c r="H46" i="18"/>
  <c r="AO46" i="18" s="1"/>
  <c r="G46" i="18"/>
  <c r="BW45" i="18"/>
  <c r="BH45" i="18"/>
  <c r="AO45" i="18"/>
  <c r="AK45" i="18"/>
  <c r="AJ45" i="18"/>
  <c r="AH45" i="18"/>
  <c r="AG45" i="18"/>
  <c r="AF45" i="18"/>
  <c r="AE45" i="18"/>
  <c r="AD45" i="18"/>
  <c r="AC45" i="18"/>
  <c r="AB45" i="18"/>
  <c r="O45" i="18"/>
  <c r="BF45" i="18" s="1"/>
  <c r="N45" i="18"/>
  <c r="H45" i="18"/>
  <c r="BD45" i="18" s="1"/>
  <c r="G45" i="18"/>
  <c r="AW45" i="18" s="1"/>
  <c r="BW44" i="18"/>
  <c r="AK44" i="18"/>
  <c r="AJ44" i="18"/>
  <c r="AH44" i="18"/>
  <c r="AG44" i="18"/>
  <c r="AF44" i="18"/>
  <c r="AE44" i="18"/>
  <c r="AD44" i="18"/>
  <c r="AC44" i="18"/>
  <c r="AB44" i="18"/>
  <c r="N44" i="18"/>
  <c r="O44" i="18" s="1"/>
  <c r="H44" i="18"/>
  <c r="BD44" i="18" s="1"/>
  <c r="G44" i="18"/>
  <c r="BJ44" i="18" s="1"/>
  <c r="Z44" i="18" s="1"/>
  <c r="AT43" i="18"/>
  <c r="BW42" i="18"/>
  <c r="AK42" i="18"/>
  <c r="AT40" i="18" s="1"/>
  <c r="AJ42" i="18"/>
  <c r="AH42" i="18"/>
  <c r="AE42" i="18"/>
  <c r="AD42" i="18"/>
  <c r="AC42" i="18"/>
  <c r="AB42" i="18"/>
  <c r="Z42" i="18"/>
  <c r="N42" i="18"/>
  <c r="H42" i="18"/>
  <c r="G42" i="18"/>
  <c r="BW41" i="18"/>
  <c r="AP41" i="18"/>
  <c r="AK41" i="18"/>
  <c r="AJ41" i="18"/>
  <c r="AS40" i="18" s="1"/>
  <c r="AH41" i="18"/>
  <c r="AE41" i="18"/>
  <c r="AD41" i="18"/>
  <c r="AC41" i="18"/>
  <c r="AB41" i="18"/>
  <c r="Z41" i="18"/>
  <c r="N41" i="18"/>
  <c r="H41" i="18"/>
  <c r="AO41" i="18" s="1"/>
  <c r="G41" i="18"/>
  <c r="BI41" i="18" s="1"/>
  <c r="AG41" i="18" s="1"/>
  <c r="BW39" i="18"/>
  <c r="BH39" i="18"/>
  <c r="AB39" i="18" s="1"/>
  <c r="AO39" i="18"/>
  <c r="AK39" i="18"/>
  <c r="AJ39" i="18"/>
  <c r="AH39" i="18"/>
  <c r="AG39" i="18"/>
  <c r="AF39" i="18"/>
  <c r="AE39" i="18"/>
  <c r="AD39" i="18"/>
  <c r="Z39" i="18"/>
  <c r="O39" i="18"/>
  <c r="BF39" i="18" s="1"/>
  <c r="N39" i="18"/>
  <c r="H39" i="18"/>
  <c r="BD39" i="18" s="1"/>
  <c r="G39" i="18"/>
  <c r="AW39" i="18" s="1"/>
  <c r="BW38" i="18"/>
  <c r="AK38" i="18"/>
  <c r="AJ38" i="18"/>
  <c r="AH38" i="18"/>
  <c r="AG38" i="18"/>
  <c r="AF38" i="18"/>
  <c r="AE38" i="18"/>
  <c r="AD38" i="18"/>
  <c r="Z38" i="18"/>
  <c r="N38" i="18"/>
  <c r="H38" i="18"/>
  <c r="BD38" i="18" s="1"/>
  <c r="G38" i="18"/>
  <c r="BJ38" i="18" s="1"/>
  <c r="BW37" i="18"/>
  <c r="BD37" i="18"/>
  <c r="AK37" i="18"/>
  <c r="AT36" i="18" s="1"/>
  <c r="AJ37" i="18"/>
  <c r="AH37" i="18"/>
  <c r="AG37" i="18"/>
  <c r="AF37" i="18"/>
  <c r="AE37" i="18"/>
  <c r="AD37" i="18"/>
  <c r="Z37" i="18"/>
  <c r="N37" i="18"/>
  <c r="H37" i="18"/>
  <c r="BJ37" i="18" s="1"/>
  <c r="G37" i="18"/>
  <c r="AS36" i="18"/>
  <c r="BW35" i="18"/>
  <c r="AP35" i="18"/>
  <c r="AK35" i="18"/>
  <c r="AJ35" i="18"/>
  <c r="AS34" i="18" s="1"/>
  <c r="AH35" i="18"/>
  <c r="AG35" i="18"/>
  <c r="AF35" i="18"/>
  <c r="AC35" i="18"/>
  <c r="AB35" i="18"/>
  <c r="Z35" i="18"/>
  <c r="N35" i="18"/>
  <c r="H35" i="18"/>
  <c r="AO35" i="18" s="1"/>
  <c r="G35" i="18"/>
  <c r="BI35" i="18" s="1"/>
  <c r="AE35" i="18" s="1"/>
  <c r="C17" i="16" s="1"/>
  <c r="AT34" i="18"/>
  <c r="BW33" i="18"/>
  <c r="AO33" i="18"/>
  <c r="BH33" i="18" s="1"/>
  <c r="AB33" i="18" s="1"/>
  <c r="AK33" i="18"/>
  <c r="AJ33" i="18"/>
  <c r="AH33" i="18"/>
  <c r="AG33" i="18"/>
  <c r="AF33" i="18"/>
  <c r="AE33" i="18"/>
  <c r="AD33" i="18"/>
  <c r="Z33" i="18"/>
  <c r="O33" i="18"/>
  <c r="BF33" i="18" s="1"/>
  <c r="N33" i="18"/>
  <c r="H33" i="18"/>
  <c r="BD33" i="18" s="1"/>
  <c r="G33" i="18"/>
  <c r="BW32" i="18"/>
  <c r="AK32" i="18"/>
  <c r="AJ32" i="18"/>
  <c r="AH32" i="18"/>
  <c r="AG32" i="18"/>
  <c r="AF32" i="18"/>
  <c r="AE32" i="18"/>
  <c r="AD32" i="18"/>
  <c r="Z32" i="18"/>
  <c r="N32" i="18"/>
  <c r="H32" i="18"/>
  <c r="BD32" i="18" s="1"/>
  <c r="G32" i="18"/>
  <c r="BJ32" i="18" s="1"/>
  <c r="BW31" i="18"/>
  <c r="BJ31" i="18"/>
  <c r="BD31" i="18"/>
  <c r="AK31" i="18"/>
  <c r="AT30" i="18" s="1"/>
  <c r="AJ31" i="18"/>
  <c r="AH31" i="18"/>
  <c r="AG31" i="18"/>
  <c r="AF31" i="18"/>
  <c r="AE31" i="18"/>
  <c r="AD31" i="18"/>
  <c r="Z31" i="18"/>
  <c r="N31" i="18"/>
  <c r="H31" i="18"/>
  <c r="G31" i="18"/>
  <c r="AS30" i="18"/>
  <c r="BW29" i="18"/>
  <c r="AP29" i="18"/>
  <c r="AK29" i="18"/>
  <c r="AJ29" i="18"/>
  <c r="AS27" i="18" s="1"/>
  <c r="AH29" i="18"/>
  <c r="AG29" i="18"/>
  <c r="AF29" i="18"/>
  <c r="AE29" i="18"/>
  <c r="AD29" i="18"/>
  <c r="Z29" i="18"/>
  <c r="N29" i="18"/>
  <c r="H29" i="18"/>
  <c r="AO29" i="18" s="1"/>
  <c r="G29" i="18"/>
  <c r="BI29" i="18" s="1"/>
  <c r="AC29" i="18" s="1"/>
  <c r="BW28" i="18"/>
  <c r="AO28" i="18"/>
  <c r="BH28" i="18" s="1"/>
  <c r="AB28" i="18" s="1"/>
  <c r="AK28" i="18"/>
  <c r="AJ28" i="18"/>
  <c r="AH28" i="18"/>
  <c r="C20" i="16" s="1"/>
  <c r="AG28" i="18"/>
  <c r="AF28" i="18"/>
  <c r="AE28" i="18"/>
  <c r="AD28" i="18"/>
  <c r="Z28" i="18"/>
  <c r="O28" i="18"/>
  <c r="N28" i="18"/>
  <c r="H28" i="18"/>
  <c r="BD28" i="18" s="1"/>
  <c r="G28" i="18"/>
  <c r="AT27" i="18"/>
  <c r="BW26" i="18"/>
  <c r="AK26" i="18"/>
  <c r="AJ26" i="18"/>
  <c r="AH26" i="18"/>
  <c r="AG26" i="18"/>
  <c r="AF26" i="18"/>
  <c r="AE26" i="18"/>
  <c r="AD26" i="18"/>
  <c r="Z26" i="18"/>
  <c r="N26" i="18"/>
  <c r="H26" i="18"/>
  <c r="BD26" i="18" s="1"/>
  <c r="G26" i="18"/>
  <c r="BJ26" i="18" s="1"/>
  <c r="BW25" i="18"/>
  <c r="BJ25" i="18"/>
  <c r="BD25" i="18"/>
  <c r="AK25" i="18"/>
  <c r="AJ25" i="18"/>
  <c r="AH25" i="18"/>
  <c r="AG25" i="18"/>
  <c r="AF25" i="18"/>
  <c r="AE25" i="18"/>
  <c r="AD25" i="18"/>
  <c r="Z25" i="18"/>
  <c r="N25" i="18"/>
  <c r="H25" i="18"/>
  <c r="G25" i="18"/>
  <c r="BW24" i="18"/>
  <c r="BI24" i="18"/>
  <c r="AC24" i="18" s="1"/>
  <c r="AP24" i="18"/>
  <c r="AK24" i="18"/>
  <c r="AJ24" i="18"/>
  <c r="AS20" i="18" s="1"/>
  <c r="AH24" i="18"/>
  <c r="AG24" i="18"/>
  <c r="AF24" i="18"/>
  <c r="AE24" i="18"/>
  <c r="AD24" i="18"/>
  <c r="Z24" i="18"/>
  <c r="N24" i="18"/>
  <c r="L24" i="18"/>
  <c r="H24" i="18"/>
  <c r="AO24" i="18" s="1"/>
  <c r="G24" i="18"/>
  <c r="BW23" i="18"/>
  <c r="BH23" i="18"/>
  <c r="AB23" i="18" s="1"/>
  <c r="AO23" i="18"/>
  <c r="J23" i="18" s="1"/>
  <c r="AK23" i="18"/>
  <c r="AJ23" i="18"/>
  <c r="AH23" i="18"/>
  <c r="AG23" i="18"/>
  <c r="AF23" i="18"/>
  <c r="AE23" i="18"/>
  <c r="AD23" i="18"/>
  <c r="Z23" i="18"/>
  <c r="O23" i="18"/>
  <c r="BF23" i="18" s="1"/>
  <c r="N23" i="18"/>
  <c r="H23" i="18"/>
  <c r="BD23" i="18" s="1"/>
  <c r="G23" i="18"/>
  <c r="AW23" i="18" s="1"/>
  <c r="BW22" i="18"/>
  <c r="AK22" i="18"/>
  <c r="AJ22" i="18"/>
  <c r="AH22" i="18"/>
  <c r="AG22" i="18"/>
  <c r="AF22" i="18"/>
  <c r="AE22" i="18"/>
  <c r="AD22" i="18"/>
  <c r="Z22" i="18"/>
  <c r="N22" i="18"/>
  <c r="H22" i="18"/>
  <c r="BD22" i="18" s="1"/>
  <c r="G22" i="18"/>
  <c r="BJ22" i="18" s="1"/>
  <c r="BW21" i="18"/>
  <c r="BD21" i="18"/>
  <c r="AK21" i="18"/>
  <c r="AT20" i="18" s="1"/>
  <c r="AJ21" i="18"/>
  <c r="AH21" i="18"/>
  <c r="AG21" i="18"/>
  <c r="AF21" i="18"/>
  <c r="AE21" i="18"/>
  <c r="AD21" i="18"/>
  <c r="Z21" i="18"/>
  <c r="N21" i="18"/>
  <c r="H21" i="18"/>
  <c r="BJ21" i="18" s="1"/>
  <c r="G21" i="18"/>
  <c r="BW19" i="18"/>
  <c r="AP19" i="18"/>
  <c r="AK19" i="18"/>
  <c r="AJ19" i="18"/>
  <c r="AS18" i="18" s="1"/>
  <c r="AH19" i="18"/>
  <c r="AG19" i="18"/>
  <c r="AF19" i="18"/>
  <c r="AE19" i="18"/>
  <c r="AD19" i="18"/>
  <c r="Z19" i="18"/>
  <c r="N19" i="18"/>
  <c r="H19" i="18"/>
  <c r="AO19" i="18" s="1"/>
  <c r="G19" i="18"/>
  <c r="AT18" i="18"/>
  <c r="BW17" i="18"/>
  <c r="BH17" i="18"/>
  <c r="AB17" i="18" s="1"/>
  <c r="AO17" i="18"/>
  <c r="AK17" i="18"/>
  <c r="AJ17" i="18"/>
  <c r="AH17" i="18"/>
  <c r="AG17" i="18"/>
  <c r="AF17" i="18"/>
  <c r="AE17" i="18"/>
  <c r="AD17" i="18"/>
  <c r="Z17" i="18"/>
  <c r="O17" i="18"/>
  <c r="BF17" i="18" s="1"/>
  <c r="N17" i="18"/>
  <c r="H17" i="18"/>
  <c r="BD17" i="18" s="1"/>
  <c r="G17" i="18"/>
  <c r="AW17" i="18" s="1"/>
  <c r="BW16" i="18"/>
  <c r="AK16" i="18"/>
  <c r="AJ16" i="18"/>
  <c r="AH16" i="18"/>
  <c r="AG16" i="18"/>
  <c r="AF16" i="18"/>
  <c r="AE16" i="18"/>
  <c r="AD16" i="18"/>
  <c r="Z16" i="18"/>
  <c r="N16" i="18"/>
  <c r="H16" i="18"/>
  <c r="BD16" i="18" s="1"/>
  <c r="G16" i="18"/>
  <c r="BJ16" i="18" s="1"/>
  <c r="BW15" i="18"/>
  <c r="BD15" i="18"/>
  <c r="AK15" i="18"/>
  <c r="AJ15" i="18"/>
  <c r="AH15" i="18"/>
  <c r="AG15" i="18"/>
  <c r="AF15" i="18"/>
  <c r="AE15" i="18"/>
  <c r="AD15" i="18"/>
  <c r="Z15" i="18"/>
  <c r="N15" i="18"/>
  <c r="H15" i="18"/>
  <c r="BJ15" i="18" s="1"/>
  <c r="G15" i="18"/>
  <c r="BW14" i="18"/>
  <c r="BD14" i="18"/>
  <c r="AP14" i="18"/>
  <c r="AO14" i="18"/>
  <c r="AK14" i="18"/>
  <c r="AJ14" i="18"/>
  <c r="AS13" i="18" s="1"/>
  <c r="AH14" i="18"/>
  <c r="AG14" i="18"/>
  <c r="AF14" i="18"/>
  <c r="AE14" i="18"/>
  <c r="AD14" i="18"/>
  <c r="Z14" i="18"/>
  <c r="N14" i="18"/>
  <c r="H14" i="18"/>
  <c r="G14" i="18"/>
  <c r="BI14" i="18" s="1"/>
  <c r="AC14" i="18" s="1"/>
  <c r="AT13" i="18"/>
  <c r="K8" i="18"/>
  <c r="H8" i="18"/>
  <c r="D8" i="18"/>
  <c r="K6" i="18"/>
  <c r="H6" i="18"/>
  <c r="D6" i="18"/>
  <c r="K4" i="18"/>
  <c r="H4" i="18"/>
  <c r="D4" i="18"/>
  <c r="K2" i="18"/>
  <c r="H2" i="18"/>
  <c r="D2" i="18"/>
  <c r="AU1" i="18"/>
  <c r="AT1" i="18"/>
  <c r="AS1" i="18"/>
  <c r="I36" i="17"/>
  <c r="I35" i="17"/>
  <c r="I26" i="17"/>
  <c r="I19" i="16" s="1"/>
  <c r="I25" i="17"/>
  <c r="I24" i="17"/>
  <c r="I23" i="17"/>
  <c r="I16" i="16" s="1"/>
  <c r="I22" i="17"/>
  <c r="I21" i="17"/>
  <c r="I17" i="17"/>
  <c r="F16" i="16" s="1"/>
  <c r="I16" i="17"/>
  <c r="I15" i="17"/>
  <c r="I18" i="17" s="1"/>
  <c r="I10" i="17"/>
  <c r="F10" i="17"/>
  <c r="C10" i="17"/>
  <c r="F8" i="17"/>
  <c r="C8" i="17"/>
  <c r="F6" i="17"/>
  <c r="C6" i="17"/>
  <c r="F4" i="17"/>
  <c r="C4" i="17"/>
  <c r="F2" i="17"/>
  <c r="C2" i="17"/>
  <c r="F26" i="16"/>
  <c r="C26" i="16"/>
  <c r="C25" i="16"/>
  <c r="I23" i="16"/>
  <c r="I18" i="16"/>
  <c r="I17" i="16"/>
  <c r="I15" i="16"/>
  <c r="F15" i="16"/>
  <c r="I14" i="16"/>
  <c r="F14" i="16"/>
  <c r="F22" i="16" s="1"/>
  <c r="I10" i="16"/>
  <c r="F10" i="16"/>
  <c r="C10" i="16"/>
  <c r="F8" i="16"/>
  <c r="C8" i="16"/>
  <c r="F6" i="16"/>
  <c r="C6" i="16"/>
  <c r="F4" i="16"/>
  <c r="C4" i="16"/>
  <c r="F2" i="16"/>
  <c r="C2" i="16"/>
  <c r="F8" i="15"/>
  <c r="C8" i="15"/>
  <c r="F6" i="15"/>
  <c r="C6" i="15"/>
  <c r="F4" i="15"/>
  <c r="C4" i="15"/>
  <c r="F2" i="15"/>
  <c r="C2" i="15"/>
  <c r="BW29" i="14"/>
  <c r="AK29" i="14"/>
  <c r="AT26" i="14" s="1"/>
  <c r="AJ29" i="14"/>
  <c r="AH29" i="14"/>
  <c r="AG29" i="14"/>
  <c r="AF29" i="14"/>
  <c r="AE29" i="14"/>
  <c r="AD29" i="14"/>
  <c r="AC29" i="14"/>
  <c r="AB29" i="14"/>
  <c r="N29" i="14"/>
  <c r="H29" i="14"/>
  <c r="G29" i="14"/>
  <c r="BW28" i="14"/>
  <c r="AP28" i="14"/>
  <c r="AO28" i="14"/>
  <c r="AK28" i="14"/>
  <c r="AJ28" i="14"/>
  <c r="AS26" i="14" s="1"/>
  <c r="AH28" i="14"/>
  <c r="AG28" i="14"/>
  <c r="AF28" i="14"/>
  <c r="AE28" i="14"/>
  <c r="AD28" i="14"/>
  <c r="AC28" i="14"/>
  <c r="AB28" i="14"/>
  <c r="N28" i="14"/>
  <c r="H28" i="14"/>
  <c r="BD28" i="14" s="1"/>
  <c r="G28" i="14"/>
  <c r="BW27" i="14"/>
  <c r="AO27" i="14"/>
  <c r="AK27" i="14"/>
  <c r="AJ27" i="14"/>
  <c r="AH27" i="14"/>
  <c r="AG27" i="14"/>
  <c r="AF27" i="14"/>
  <c r="AE27" i="14"/>
  <c r="AD27" i="14"/>
  <c r="AC27" i="14"/>
  <c r="AB27" i="14"/>
  <c r="O27" i="14"/>
  <c r="N27" i="14"/>
  <c r="H27" i="14"/>
  <c r="BJ27" i="14" s="1"/>
  <c r="Z27" i="14" s="1"/>
  <c r="G27" i="14"/>
  <c r="BW25" i="14"/>
  <c r="AK25" i="14"/>
  <c r="AJ25" i="14"/>
  <c r="AH25" i="14"/>
  <c r="AG25" i="14"/>
  <c r="AF25" i="14"/>
  <c r="AE25" i="14"/>
  <c r="AD25" i="14"/>
  <c r="Z25" i="14"/>
  <c r="N25" i="14"/>
  <c r="H25" i="14"/>
  <c r="BD25" i="14" s="1"/>
  <c r="G25" i="14"/>
  <c r="BJ25" i="14" s="1"/>
  <c r="AT24" i="14"/>
  <c r="AS24" i="14"/>
  <c r="BW23" i="14"/>
  <c r="AK23" i="14"/>
  <c r="AT21" i="14" s="1"/>
  <c r="AJ23" i="14"/>
  <c r="AH23" i="14"/>
  <c r="AG23" i="14"/>
  <c r="AF23" i="14"/>
  <c r="AE23" i="14"/>
  <c r="AD23" i="14"/>
  <c r="Z23" i="14"/>
  <c r="N23" i="14"/>
  <c r="H23" i="14"/>
  <c r="G23" i="14"/>
  <c r="BW22" i="14"/>
  <c r="AP22" i="14"/>
  <c r="AO22" i="14"/>
  <c r="AK22" i="14"/>
  <c r="AJ22" i="14"/>
  <c r="AS21" i="14" s="1"/>
  <c r="AH22" i="14"/>
  <c r="AG22" i="14"/>
  <c r="AF22" i="14"/>
  <c r="AE22" i="14"/>
  <c r="AD22" i="14"/>
  <c r="Z22" i="14"/>
  <c r="N22" i="14"/>
  <c r="L22" i="14"/>
  <c r="H22" i="14"/>
  <c r="BD22" i="14" s="1"/>
  <c r="G22" i="14"/>
  <c r="BI22" i="14" s="1"/>
  <c r="AC22" i="14" s="1"/>
  <c r="BW20" i="14"/>
  <c r="AO20" i="14"/>
  <c r="AK20" i="14"/>
  <c r="AJ20" i="14"/>
  <c r="AH20" i="14"/>
  <c r="AG20" i="14"/>
  <c r="AF20" i="14"/>
  <c r="AE20" i="14"/>
  <c r="AD20" i="14"/>
  <c r="Z20" i="14"/>
  <c r="O20" i="14"/>
  <c r="BF20" i="14" s="1"/>
  <c r="N20" i="14"/>
  <c r="H20" i="14"/>
  <c r="BD20" i="14" s="1"/>
  <c r="G20" i="14"/>
  <c r="BW19" i="14"/>
  <c r="AK19" i="14"/>
  <c r="AJ19" i="14"/>
  <c r="AH19" i="14"/>
  <c r="AG19" i="14"/>
  <c r="AF19" i="14"/>
  <c r="AE19" i="14"/>
  <c r="AD19" i="14"/>
  <c r="Z19" i="14"/>
  <c r="N19" i="14"/>
  <c r="H19" i="14"/>
  <c r="BD19" i="14" s="1"/>
  <c r="G19" i="14"/>
  <c r="BJ19" i="14" s="1"/>
  <c r="AT18" i="14"/>
  <c r="AS18" i="14"/>
  <c r="BW17" i="14"/>
  <c r="BD17" i="14"/>
  <c r="AK17" i="14"/>
  <c r="AJ17" i="14"/>
  <c r="AH17" i="14"/>
  <c r="AG17" i="14"/>
  <c r="AF17" i="14"/>
  <c r="AE17" i="14"/>
  <c r="AD17" i="14"/>
  <c r="Z17" i="14"/>
  <c r="N17" i="14"/>
  <c r="H17" i="14"/>
  <c r="BJ17" i="14" s="1"/>
  <c r="G17" i="14"/>
  <c r="BW16" i="14"/>
  <c r="BI16" i="14"/>
  <c r="AC16" i="14" s="1"/>
  <c r="AP16" i="14"/>
  <c r="AK16" i="14"/>
  <c r="AJ16" i="14"/>
  <c r="AH16" i="14"/>
  <c r="AG16" i="14"/>
  <c r="AF16" i="14"/>
  <c r="AE16" i="14"/>
  <c r="C17" i="12" s="1"/>
  <c r="AD16" i="14"/>
  <c r="Z16" i="14"/>
  <c r="N16" i="14"/>
  <c r="L16" i="14"/>
  <c r="H16" i="14"/>
  <c r="AO16" i="14" s="1"/>
  <c r="G16" i="14"/>
  <c r="BW14" i="14"/>
  <c r="AO14" i="14"/>
  <c r="AK14" i="14"/>
  <c r="AJ14" i="14"/>
  <c r="AH14" i="14"/>
  <c r="C20" i="12" s="1"/>
  <c r="AG14" i="14"/>
  <c r="AF14" i="14"/>
  <c r="AE14" i="14"/>
  <c r="AD14" i="14"/>
  <c r="C16" i="12" s="1"/>
  <c r="Z14" i="14"/>
  <c r="O14" i="14"/>
  <c r="N14" i="14"/>
  <c r="H14" i="14"/>
  <c r="BD14" i="14" s="1"/>
  <c r="G14" i="14"/>
  <c r="AT13" i="14"/>
  <c r="AS13" i="14"/>
  <c r="K8" i="14"/>
  <c r="H8" i="14"/>
  <c r="D8" i="14"/>
  <c r="K6" i="14"/>
  <c r="H6" i="14"/>
  <c r="D6" i="14"/>
  <c r="K4" i="14"/>
  <c r="H4" i="14"/>
  <c r="D4" i="14"/>
  <c r="K2" i="14"/>
  <c r="H2" i="14"/>
  <c r="D2" i="14"/>
  <c r="AU1" i="14"/>
  <c r="AT1" i="14"/>
  <c r="AS1" i="14"/>
  <c r="I36" i="13"/>
  <c r="I35" i="13"/>
  <c r="I26" i="13"/>
  <c r="I19" i="12" s="1"/>
  <c r="I25" i="13"/>
  <c r="I24" i="13"/>
  <c r="I23" i="13"/>
  <c r="I22" i="13"/>
  <c r="I15" i="12" s="1"/>
  <c r="I21" i="13"/>
  <c r="I17" i="13"/>
  <c r="I16" i="13"/>
  <c r="F15" i="12" s="1"/>
  <c r="I15" i="13"/>
  <c r="I10" i="13"/>
  <c r="F10" i="13"/>
  <c r="C10" i="13"/>
  <c r="F8" i="13"/>
  <c r="C8" i="13"/>
  <c r="F6" i="13"/>
  <c r="C6" i="13"/>
  <c r="F4" i="13"/>
  <c r="C4" i="13"/>
  <c r="F2" i="13"/>
  <c r="C2" i="13"/>
  <c r="I23" i="12"/>
  <c r="I18" i="12"/>
  <c r="I17" i="12"/>
  <c r="I16" i="12"/>
  <c r="F16" i="12"/>
  <c r="I14" i="12"/>
  <c r="F14" i="12"/>
  <c r="I10" i="12"/>
  <c r="F10" i="12"/>
  <c r="C10" i="12"/>
  <c r="F8" i="12"/>
  <c r="C8" i="12"/>
  <c r="F6" i="12"/>
  <c r="C6" i="12"/>
  <c r="F4" i="12"/>
  <c r="C4" i="12"/>
  <c r="F2" i="12"/>
  <c r="C2" i="12"/>
  <c r="F8" i="11"/>
  <c r="C8" i="11"/>
  <c r="F6" i="11"/>
  <c r="C6" i="11"/>
  <c r="F4" i="11"/>
  <c r="C4" i="11"/>
  <c r="F2" i="11"/>
  <c r="C2" i="11"/>
  <c r="BW115" i="10"/>
  <c r="BI115" i="10"/>
  <c r="AP115" i="10"/>
  <c r="AO115" i="10"/>
  <c r="AK115" i="10"/>
  <c r="AJ115" i="10"/>
  <c r="AH115" i="10"/>
  <c r="AG115" i="10"/>
  <c r="AF115" i="10"/>
  <c r="AE115" i="10"/>
  <c r="AD115" i="10"/>
  <c r="AC115" i="10"/>
  <c r="AB115" i="10"/>
  <c r="N115" i="10"/>
  <c r="L115" i="10"/>
  <c r="H115" i="10"/>
  <c r="BD115" i="10" s="1"/>
  <c r="G115" i="10"/>
  <c r="BW114" i="10"/>
  <c r="BH114" i="10"/>
  <c r="AO114" i="10"/>
  <c r="J114" i="10" s="1"/>
  <c r="AK114" i="10"/>
  <c r="AJ114" i="10"/>
  <c r="AH114" i="10"/>
  <c r="AG114" i="10"/>
  <c r="AF114" i="10"/>
  <c r="AE114" i="10"/>
  <c r="AD114" i="10"/>
  <c r="AC114" i="10"/>
  <c r="AB114" i="10"/>
  <c r="O114" i="10"/>
  <c r="BF114" i="10" s="1"/>
  <c r="N114" i="10"/>
  <c r="H114" i="10"/>
  <c r="BD114" i="10" s="1"/>
  <c r="G114" i="10"/>
  <c r="AW114" i="10" s="1"/>
  <c r="BW113" i="10"/>
  <c r="AK113" i="10"/>
  <c r="AJ113" i="10"/>
  <c r="AH113" i="10"/>
  <c r="AG113" i="10"/>
  <c r="AF113" i="10"/>
  <c r="AE113" i="10"/>
  <c r="AD113" i="10"/>
  <c r="AC113" i="10"/>
  <c r="AB113" i="10"/>
  <c r="N113" i="10"/>
  <c r="H113" i="10"/>
  <c r="BD113" i="10" s="1"/>
  <c r="G113" i="10"/>
  <c r="BJ113" i="10" s="1"/>
  <c r="Z113" i="10" s="1"/>
  <c r="BW112" i="10"/>
  <c r="BD112" i="10"/>
  <c r="AK112" i="10"/>
  <c r="AJ112" i="10"/>
  <c r="AH112" i="10"/>
  <c r="AG112" i="10"/>
  <c r="AF112" i="10"/>
  <c r="AE112" i="10"/>
  <c r="AD112" i="10"/>
  <c r="AC112" i="10"/>
  <c r="AB112" i="10"/>
  <c r="N112" i="10"/>
  <c r="H112" i="10"/>
  <c r="BJ112" i="10" s="1"/>
  <c r="Z112" i="10" s="1"/>
  <c r="G112" i="10"/>
  <c r="BW111" i="10"/>
  <c r="BI111" i="10"/>
  <c r="AP111" i="10"/>
  <c r="AK111" i="10"/>
  <c r="AJ111" i="10"/>
  <c r="AH111" i="10"/>
  <c r="AG111" i="10"/>
  <c r="AF111" i="10"/>
  <c r="AE111" i="10"/>
  <c r="AD111" i="10"/>
  <c r="AC111" i="10"/>
  <c r="AB111" i="10"/>
  <c r="N111" i="10"/>
  <c r="H111" i="10"/>
  <c r="AO111" i="10" s="1"/>
  <c r="G111" i="10"/>
  <c r="BW110" i="10"/>
  <c r="AO110" i="10"/>
  <c r="BH110" i="10" s="1"/>
  <c r="AK110" i="10"/>
  <c r="AJ110" i="10"/>
  <c r="AH110" i="10"/>
  <c r="AG110" i="10"/>
  <c r="AF110" i="10"/>
  <c r="AE110" i="10"/>
  <c r="AD110" i="10"/>
  <c r="AC110" i="10"/>
  <c r="AB110" i="10"/>
  <c r="O110" i="10"/>
  <c r="BF110" i="10" s="1"/>
  <c r="N110" i="10"/>
  <c r="H110" i="10"/>
  <c r="BD110" i="10" s="1"/>
  <c r="G110" i="10"/>
  <c r="BW109" i="10"/>
  <c r="AK109" i="10"/>
  <c r="AJ109" i="10"/>
  <c r="AH109" i="10"/>
  <c r="AG109" i="10"/>
  <c r="AF109" i="10"/>
  <c r="AE109" i="10"/>
  <c r="AD109" i="10"/>
  <c r="AC109" i="10"/>
  <c r="AB109" i="10"/>
  <c r="N109" i="10"/>
  <c r="H109" i="10"/>
  <c r="BD109" i="10" s="1"/>
  <c r="G109" i="10"/>
  <c r="BJ109" i="10" s="1"/>
  <c r="Z109" i="10" s="1"/>
  <c r="BW108" i="10"/>
  <c r="BJ108" i="10"/>
  <c r="Z108" i="10" s="1"/>
  <c r="BD108" i="10"/>
  <c r="AK108" i="10"/>
  <c r="AJ108" i="10"/>
  <c r="AH108" i="10"/>
  <c r="AG108" i="10"/>
  <c r="AF108" i="10"/>
  <c r="AE108" i="10"/>
  <c r="AD108" i="10"/>
  <c r="AC108" i="10"/>
  <c r="AB108" i="10"/>
  <c r="N108" i="10"/>
  <c r="H108" i="10"/>
  <c r="G108" i="10"/>
  <c r="BW107" i="10"/>
  <c r="AP107" i="10"/>
  <c r="AK107" i="10"/>
  <c r="AJ107" i="10"/>
  <c r="AH107" i="10"/>
  <c r="AG107" i="10"/>
  <c r="AF107" i="10"/>
  <c r="AE107" i="10"/>
  <c r="AD107" i="10"/>
  <c r="AC107" i="10"/>
  <c r="AB107" i="10"/>
  <c r="N107" i="10"/>
  <c r="L107" i="10"/>
  <c r="H107" i="10"/>
  <c r="AO107" i="10" s="1"/>
  <c r="G107" i="10"/>
  <c r="BW106" i="10"/>
  <c r="BH106" i="10"/>
  <c r="AO106" i="10"/>
  <c r="AK106" i="10"/>
  <c r="AJ106" i="10"/>
  <c r="AH106" i="10"/>
  <c r="AG106" i="10"/>
  <c r="AF106" i="10"/>
  <c r="AE106" i="10"/>
  <c r="AD106" i="10"/>
  <c r="AC106" i="10"/>
  <c r="AB106" i="10"/>
  <c r="O106" i="10"/>
  <c r="BF106" i="10" s="1"/>
  <c r="N106" i="10"/>
  <c r="H106" i="10"/>
  <c r="BD106" i="10" s="1"/>
  <c r="G106" i="10"/>
  <c r="AW106" i="10" s="1"/>
  <c r="BW105" i="10"/>
  <c r="AK105" i="10"/>
  <c r="AJ105" i="10"/>
  <c r="AH105" i="10"/>
  <c r="AG105" i="10"/>
  <c r="AF105" i="10"/>
  <c r="AE105" i="10"/>
  <c r="AD105" i="10"/>
  <c r="AC105" i="10"/>
  <c r="AB105" i="10"/>
  <c r="N105" i="10"/>
  <c r="H105" i="10"/>
  <c r="BD105" i="10" s="1"/>
  <c r="G105" i="10"/>
  <c r="BW104" i="10"/>
  <c r="AO104" i="10"/>
  <c r="AK104" i="10"/>
  <c r="AJ104" i="10"/>
  <c r="AH104" i="10"/>
  <c r="AG104" i="10"/>
  <c r="AF104" i="10"/>
  <c r="AE104" i="10"/>
  <c r="AD104" i="10"/>
  <c r="AC104" i="10"/>
  <c r="AB104" i="10"/>
  <c r="O104" i="10"/>
  <c r="BF104" i="10" s="1"/>
  <c r="N104" i="10"/>
  <c r="H104" i="10"/>
  <c r="BD104" i="10" s="1"/>
  <c r="G104" i="10"/>
  <c r="BW103" i="10"/>
  <c r="AK103" i="10"/>
  <c r="AJ103" i="10"/>
  <c r="AH103" i="10"/>
  <c r="AG103" i="10"/>
  <c r="AF103" i="10"/>
  <c r="AE103" i="10"/>
  <c r="AD103" i="10"/>
  <c r="AC103" i="10"/>
  <c r="AB103" i="10"/>
  <c r="N103" i="10"/>
  <c r="H103" i="10"/>
  <c r="BJ103" i="10" s="1"/>
  <c r="Z103" i="10" s="1"/>
  <c r="G103" i="10"/>
  <c r="BW102" i="10"/>
  <c r="BJ102" i="10"/>
  <c r="Z102" i="10" s="1"/>
  <c r="AK102" i="10"/>
  <c r="AJ102" i="10"/>
  <c r="AH102" i="10"/>
  <c r="AG102" i="10"/>
  <c r="AF102" i="10"/>
  <c r="AE102" i="10"/>
  <c r="AD102" i="10"/>
  <c r="AC102" i="10"/>
  <c r="AB102" i="10"/>
  <c r="N102" i="10"/>
  <c r="H102" i="10"/>
  <c r="G102" i="10"/>
  <c r="BW101" i="10"/>
  <c r="AP101" i="10"/>
  <c r="AO101" i="10"/>
  <c r="AK101" i="10"/>
  <c r="AJ101" i="10"/>
  <c r="AS93" i="10" s="1"/>
  <c r="AH101" i="10"/>
  <c r="AG101" i="10"/>
  <c r="AF101" i="10"/>
  <c r="AE101" i="10"/>
  <c r="AD101" i="10"/>
  <c r="AC101" i="10"/>
  <c r="AB101" i="10"/>
  <c r="N101" i="10"/>
  <c r="H101" i="10"/>
  <c r="BD101" i="10" s="1"/>
  <c r="G101" i="10"/>
  <c r="BW100" i="10"/>
  <c r="AO100" i="10"/>
  <c r="AK100" i="10"/>
  <c r="AJ100" i="10"/>
  <c r="AH100" i="10"/>
  <c r="AG100" i="10"/>
  <c r="AF100" i="10"/>
  <c r="AE100" i="10"/>
  <c r="AD100" i="10"/>
  <c r="AC100" i="10"/>
  <c r="AB100" i="10"/>
  <c r="O100" i="10"/>
  <c r="BF100" i="10" s="1"/>
  <c r="N100" i="10"/>
  <c r="H100" i="10"/>
  <c r="BJ100" i="10" s="1"/>
  <c r="Z100" i="10" s="1"/>
  <c r="G100" i="10"/>
  <c r="BW99" i="10"/>
  <c r="AK99" i="10"/>
  <c r="AJ99" i="10"/>
  <c r="AH99" i="10"/>
  <c r="AG99" i="10"/>
  <c r="AF99" i="10"/>
  <c r="AE99" i="10"/>
  <c r="AD99" i="10"/>
  <c r="AC99" i="10"/>
  <c r="AB99" i="10"/>
  <c r="N99" i="10"/>
  <c r="H99" i="10"/>
  <c r="BJ99" i="10" s="1"/>
  <c r="Z99" i="10" s="1"/>
  <c r="G99" i="10"/>
  <c r="BW98" i="10"/>
  <c r="BJ98" i="10"/>
  <c r="Z98" i="10" s="1"/>
  <c r="BD98" i="10"/>
  <c r="AK98" i="10"/>
  <c r="AJ98" i="10"/>
  <c r="AH98" i="10"/>
  <c r="AG98" i="10"/>
  <c r="AF98" i="10"/>
  <c r="AE98" i="10"/>
  <c r="AD98" i="10"/>
  <c r="AC98" i="10"/>
  <c r="AB98" i="10"/>
  <c r="N98" i="10"/>
  <c r="H98" i="10"/>
  <c r="G98" i="10"/>
  <c r="BW97" i="10"/>
  <c r="AP97" i="10"/>
  <c r="BI97" i="10" s="1"/>
  <c r="AO97" i="10"/>
  <c r="AK97" i="10"/>
  <c r="AJ97" i="10"/>
  <c r="AH97" i="10"/>
  <c r="AG97" i="10"/>
  <c r="AF97" i="10"/>
  <c r="AE97" i="10"/>
  <c r="AD97" i="10"/>
  <c r="AC97" i="10"/>
  <c r="AB97" i="10"/>
  <c r="N97" i="10"/>
  <c r="L97" i="10"/>
  <c r="H97" i="10"/>
  <c r="BD97" i="10" s="1"/>
  <c r="G97" i="10"/>
  <c r="BW96" i="10"/>
  <c r="BH96" i="10"/>
  <c r="AO96" i="10"/>
  <c r="AK96" i="10"/>
  <c r="AJ96" i="10"/>
  <c r="AH96" i="10"/>
  <c r="AG96" i="10"/>
  <c r="AF96" i="10"/>
  <c r="AE96" i="10"/>
  <c r="AD96" i="10"/>
  <c r="AC96" i="10"/>
  <c r="AB96" i="10"/>
  <c r="O96" i="10"/>
  <c r="BF96" i="10" s="1"/>
  <c r="N96" i="10"/>
  <c r="H96" i="10"/>
  <c r="BJ96" i="10" s="1"/>
  <c r="Z96" i="10" s="1"/>
  <c r="G96" i="10"/>
  <c r="BW95" i="10"/>
  <c r="AK95" i="10"/>
  <c r="AJ95" i="10"/>
  <c r="AH95" i="10"/>
  <c r="AG95" i="10"/>
  <c r="AF95" i="10"/>
  <c r="AE95" i="10"/>
  <c r="AD95" i="10"/>
  <c r="AC95" i="10"/>
  <c r="AB95" i="10"/>
  <c r="N95" i="10"/>
  <c r="H95" i="10"/>
  <c r="BJ95" i="10" s="1"/>
  <c r="Z95" i="10" s="1"/>
  <c r="G95" i="10"/>
  <c r="BW94" i="10"/>
  <c r="AK94" i="10"/>
  <c r="AJ94" i="10"/>
  <c r="AH94" i="10"/>
  <c r="AG94" i="10"/>
  <c r="AF94" i="10"/>
  <c r="AE94" i="10"/>
  <c r="AD94" i="10"/>
  <c r="AC94" i="10"/>
  <c r="AB94" i="10"/>
  <c r="N94" i="10"/>
  <c r="H94" i="10"/>
  <c r="G94" i="10"/>
  <c r="BW92" i="10"/>
  <c r="AP92" i="10"/>
  <c r="AO92" i="10"/>
  <c r="AK92" i="10"/>
  <c r="AJ92" i="10"/>
  <c r="AS89" i="10" s="1"/>
  <c r="AH92" i="10"/>
  <c r="AG92" i="10"/>
  <c r="AF92" i="10"/>
  <c r="AE92" i="10"/>
  <c r="AD92" i="10"/>
  <c r="Z92" i="10"/>
  <c r="N92" i="10"/>
  <c r="H92" i="10"/>
  <c r="BD92" i="10" s="1"/>
  <c r="G92" i="10"/>
  <c r="BW91" i="10"/>
  <c r="AO91" i="10"/>
  <c r="AK91" i="10"/>
  <c r="AJ91" i="10"/>
  <c r="AH91" i="10"/>
  <c r="AG91" i="10"/>
  <c r="AF91" i="10"/>
  <c r="AE91" i="10"/>
  <c r="AD91" i="10"/>
  <c r="Z91" i="10"/>
  <c r="O91" i="10"/>
  <c r="BF91" i="10" s="1"/>
  <c r="N91" i="10"/>
  <c r="H91" i="10"/>
  <c r="BD91" i="10" s="1"/>
  <c r="G91" i="10"/>
  <c r="BJ91" i="10" s="1"/>
  <c r="BW90" i="10"/>
  <c r="AK90" i="10"/>
  <c r="AJ90" i="10"/>
  <c r="AH90" i="10"/>
  <c r="AG90" i="10"/>
  <c r="AF90" i="10"/>
  <c r="AE90" i="10"/>
  <c r="AD90" i="10"/>
  <c r="Z90" i="10"/>
  <c r="N90" i="10"/>
  <c r="H90" i="10"/>
  <c r="BJ90" i="10" s="1"/>
  <c r="G90" i="10"/>
  <c r="AT89" i="10"/>
  <c r="BW88" i="10"/>
  <c r="AK88" i="10"/>
  <c r="AT85" i="10" s="1"/>
  <c r="AJ88" i="10"/>
  <c r="AH88" i="10"/>
  <c r="AG88" i="10"/>
  <c r="AF88" i="10"/>
  <c r="AE88" i="10"/>
  <c r="AD88" i="10"/>
  <c r="Z88" i="10"/>
  <c r="N88" i="10"/>
  <c r="H88" i="10"/>
  <c r="G88" i="10"/>
  <c r="BW87" i="10"/>
  <c r="AP87" i="10"/>
  <c r="AO87" i="10"/>
  <c r="AK87" i="10"/>
  <c r="AJ87" i="10"/>
  <c r="AS85" i="10" s="1"/>
  <c r="AH87" i="10"/>
  <c r="AG87" i="10"/>
  <c r="AF87" i="10"/>
  <c r="AE87" i="10"/>
  <c r="AD87" i="10"/>
  <c r="Z87" i="10"/>
  <c r="N87" i="10"/>
  <c r="L87" i="10"/>
  <c r="H87" i="10"/>
  <c r="BD87" i="10" s="1"/>
  <c r="G87" i="10"/>
  <c r="BW86" i="10"/>
  <c r="BH86" i="10"/>
  <c r="AB86" i="10" s="1"/>
  <c r="AO86" i="10"/>
  <c r="AK86" i="10"/>
  <c r="AJ86" i="10"/>
  <c r="AH86" i="10"/>
  <c r="AG86" i="10"/>
  <c r="AF86" i="10"/>
  <c r="AE86" i="10"/>
  <c r="AD86" i="10"/>
  <c r="Z86" i="10"/>
  <c r="O86" i="10"/>
  <c r="N86" i="10"/>
  <c r="H86" i="10"/>
  <c r="BD86" i="10" s="1"/>
  <c r="G86" i="10"/>
  <c r="BJ86" i="10" s="1"/>
  <c r="BW84" i="10"/>
  <c r="AK84" i="10"/>
  <c r="AJ84" i="10"/>
  <c r="AH84" i="10"/>
  <c r="AG84" i="10"/>
  <c r="AF84" i="10"/>
  <c r="AE84" i="10"/>
  <c r="AD84" i="10"/>
  <c r="Z84" i="10"/>
  <c r="N84" i="10"/>
  <c r="H84" i="10"/>
  <c r="BD84" i="10" s="1"/>
  <c r="G84" i="10"/>
  <c r="BJ84" i="10" s="1"/>
  <c r="BW83" i="10"/>
  <c r="AK83" i="10"/>
  <c r="AJ83" i="10"/>
  <c r="AH83" i="10"/>
  <c r="AG83" i="10"/>
  <c r="AF83" i="10"/>
  <c r="AE83" i="10"/>
  <c r="AD83" i="10"/>
  <c r="Z83" i="10"/>
  <c r="N83" i="10"/>
  <c r="H83" i="10"/>
  <c r="G83" i="10"/>
  <c r="BW82" i="10"/>
  <c r="AP82" i="10"/>
  <c r="AK82" i="10"/>
  <c r="AJ82" i="10"/>
  <c r="AH82" i="10"/>
  <c r="AG82" i="10"/>
  <c r="AF82" i="10"/>
  <c r="AE82" i="10"/>
  <c r="AD82" i="10"/>
  <c r="Z82" i="10"/>
  <c r="N82" i="10"/>
  <c r="H82" i="10"/>
  <c r="AO82" i="10" s="1"/>
  <c r="G82" i="10"/>
  <c r="BW81" i="10"/>
  <c r="AO81" i="10"/>
  <c r="J81" i="10" s="1"/>
  <c r="AK81" i="10"/>
  <c r="AJ81" i="10"/>
  <c r="AH81" i="10"/>
  <c r="AG81" i="10"/>
  <c r="AF81" i="10"/>
  <c r="AE81" i="10"/>
  <c r="AD81" i="10"/>
  <c r="Z81" i="10"/>
  <c r="O81" i="10"/>
  <c r="BF81" i="10" s="1"/>
  <c r="N81" i="10"/>
  <c r="H81" i="10"/>
  <c r="BD81" i="10" s="1"/>
  <c r="G81" i="10"/>
  <c r="AW81" i="10" s="1"/>
  <c r="BW80" i="10"/>
  <c r="AK80" i="10"/>
  <c r="AJ80" i="10"/>
  <c r="AH80" i="10"/>
  <c r="AG80" i="10"/>
  <c r="AF80" i="10"/>
  <c r="AE80" i="10"/>
  <c r="AD80" i="10"/>
  <c r="Z80" i="10"/>
  <c r="N80" i="10"/>
  <c r="H80" i="10"/>
  <c r="BD80" i="10" s="1"/>
  <c r="G80" i="10"/>
  <c r="BJ80" i="10" s="1"/>
  <c r="BW79" i="10"/>
  <c r="BJ79" i="10"/>
  <c r="BD79" i="10"/>
  <c r="AK79" i="10"/>
  <c r="AT68" i="10" s="1"/>
  <c r="AJ79" i="10"/>
  <c r="AH79" i="10"/>
  <c r="AG79" i="10"/>
  <c r="AF79" i="10"/>
  <c r="AE79" i="10"/>
  <c r="AD79" i="10"/>
  <c r="Z79" i="10"/>
  <c r="N79" i="10"/>
  <c r="H79" i="10"/>
  <c r="G79" i="10"/>
  <c r="BW78" i="10"/>
  <c r="AP78" i="10"/>
  <c r="AK78" i="10"/>
  <c r="AJ78" i="10"/>
  <c r="AH78" i="10"/>
  <c r="AG78" i="10"/>
  <c r="AF78" i="10"/>
  <c r="AE78" i="10"/>
  <c r="AD78" i="10"/>
  <c r="Z78" i="10"/>
  <c r="N78" i="10"/>
  <c r="L78" i="10"/>
  <c r="H78" i="10"/>
  <c r="AO78" i="10" s="1"/>
  <c r="G78" i="10"/>
  <c r="BW77" i="10"/>
  <c r="BH77" i="10"/>
  <c r="AB77" i="10" s="1"/>
  <c r="AO77" i="10"/>
  <c r="AK77" i="10"/>
  <c r="AJ77" i="10"/>
  <c r="AH77" i="10"/>
  <c r="AG77" i="10"/>
  <c r="AF77" i="10"/>
  <c r="AE77" i="10"/>
  <c r="AD77" i="10"/>
  <c r="Z77" i="10"/>
  <c r="O77" i="10"/>
  <c r="BF77" i="10" s="1"/>
  <c r="N77" i="10"/>
  <c r="H77" i="10"/>
  <c r="BD77" i="10" s="1"/>
  <c r="G77" i="10"/>
  <c r="BW76" i="10"/>
  <c r="AK76" i="10"/>
  <c r="AJ76" i="10"/>
  <c r="AH76" i="10"/>
  <c r="AG76" i="10"/>
  <c r="AF76" i="10"/>
  <c r="AE76" i="10"/>
  <c r="AD76" i="10"/>
  <c r="Z76" i="10"/>
  <c r="N76" i="10"/>
  <c r="H76" i="10"/>
  <c r="BD76" i="10" s="1"/>
  <c r="G76" i="10"/>
  <c r="BJ76" i="10" s="1"/>
  <c r="BW75" i="10"/>
  <c r="AK75" i="10"/>
  <c r="AJ75" i="10"/>
  <c r="AH75" i="10"/>
  <c r="AG75" i="10"/>
  <c r="AF75" i="10"/>
  <c r="AE75" i="10"/>
  <c r="AD75" i="10"/>
  <c r="Z75" i="10"/>
  <c r="N75" i="10"/>
  <c r="H75" i="10"/>
  <c r="G75" i="10"/>
  <c r="BW74" i="10"/>
  <c r="BI74" i="10"/>
  <c r="AC74" i="10" s="1"/>
  <c r="AP74" i="10"/>
  <c r="AK74" i="10"/>
  <c r="AJ74" i="10"/>
  <c r="AH74" i="10"/>
  <c r="AG74" i="10"/>
  <c r="AF74" i="10"/>
  <c r="AE74" i="10"/>
  <c r="AD74" i="10"/>
  <c r="Z74" i="10"/>
  <c r="N74" i="10"/>
  <c r="L74" i="10"/>
  <c r="H74" i="10"/>
  <c r="AO74" i="10" s="1"/>
  <c r="G74" i="10"/>
  <c r="BW73" i="10"/>
  <c r="AK73" i="10"/>
  <c r="AJ73" i="10"/>
  <c r="AH73" i="10"/>
  <c r="AG73" i="10"/>
  <c r="AF73" i="10"/>
  <c r="AE73" i="10"/>
  <c r="AD73" i="10"/>
  <c r="Z73" i="10"/>
  <c r="N73" i="10"/>
  <c r="H73" i="10"/>
  <c r="G73" i="10"/>
  <c r="BW72" i="10"/>
  <c r="AK72" i="10"/>
  <c r="AJ72" i="10"/>
  <c r="AH72" i="10"/>
  <c r="AG72" i="10"/>
  <c r="AF72" i="10"/>
  <c r="AE72" i="10"/>
  <c r="AD72" i="10"/>
  <c r="Z72" i="10"/>
  <c r="O72" i="10"/>
  <c r="BF72" i="10" s="1"/>
  <c r="N72" i="10"/>
  <c r="H72" i="10"/>
  <c r="BJ72" i="10" s="1"/>
  <c r="G72" i="10"/>
  <c r="BW71" i="10"/>
  <c r="AP71" i="10"/>
  <c r="AO71" i="10"/>
  <c r="AL71" i="10"/>
  <c r="AK71" i="10"/>
  <c r="AJ71" i="10"/>
  <c r="AH71" i="10"/>
  <c r="AG71" i="10"/>
  <c r="AF71" i="10"/>
  <c r="AE71" i="10"/>
  <c r="AD71" i="10"/>
  <c r="Z71" i="10"/>
  <c r="N71" i="10"/>
  <c r="L71" i="10"/>
  <c r="M71" i="10" s="1"/>
  <c r="J71" i="10"/>
  <c r="H71" i="10"/>
  <c r="BD71" i="10" s="1"/>
  <c r="G71" i="10"/>
  <c r="BW70" i="10"/>
  <c r="AK70" i="10"/>
  <c r="AJ70" i="10"/>
  <c r="AH70" i="10"/>
  <c r="AG70" i="10"/>
  <c r="AF70" i="10"/>
  <c r="AE70" i="10"/>
  <c r="AD70" i="10"/>
  <c r="Z70" i="10"/>
  <c r="O70" i="10"/>
  <c r="BF70" i="10" s="1"/>
  <c r="N70" i="10"/>
  <c r="H70" i="10"/>
  <c r="G70" i="10"/>
  <c r="BW69" i="10"/>
  <c r="AP69" i="10"/>
  <c r="BI69" i="10" s="1"/>
  <c r="AC69" i="10" s="1"/>
  <c r="AL69" i="10"/>
  <c r="AK69" i="10"/>
  <c r="AJ69" i="10"/>
  <c r="AH69" i="10"/>
  <c r="AG69" i="10"/>
  <c r="AF69" i="10"/>
  <c r="AE69" i="10"/>
  <c r="AD69" i="10"/>
  <c r="Z69" i="10"/>
  <c r="N69" i="10"/>
  <c r="L69" i="10"/>
  <c r="M69" i="10" s="1"/>
  <c r="H69" i="10"/>
  <c r="AO69" i="10" s="1"/>
  <c r="J69" i="10" s="1"/>
  <c r="G69" i="10"/>
  <c r="BW67" i="10"/>
  <c r="BJ67" i="10"/>
  <c r="Z67" i="10" s="1"/>
  <c r="BH67" i="10"/>
  <c r="AO67" i="10"/>
  <c r="AK67" i="10"/>
  <c r="AJ67" i="10"/>
  <c r="AH67" i="10"/>
  <c r="AG67" i="10"/>
  <c r="AF67" i="10"/>
  <c r="AE67" i="10"/>
  <c r="AD67" i="10"/>
  <c r="AC67" i="10"/>
  <c r="AB67" i="10"/>
  <c r="O67" i="10"/>
  <c r="BF67" i="10" s="1"/>
  <c r="N67" i="10"/>
  <c r="H67" i="10"/>
  <c r="AP67" i="10" s="1"/>
  <c r="K67" i="10" s="1"/>
  <c r="G67" i="10"/>
  <c r="AW67" i="10" s="1"/>
  <c r="BW66" i="10"/>
  <c r="AW66" i="10"/>
  <c r="AP66" i="10"/>
  <c r="AO66" i="10"/>
  <c r="AL66" i="10"/>
  <c r="AK66" i="10"/>
  <c r="AJ66" i="10"/>
  <c r="AH66" i="10"/>
  <c r="AG66" i="10"/>
  <c r="AF66" i="10"/>
  <c r="AE66" i="10"/>
  <c r="AD66" i="10"/>
  <c r="Z66" i="10"/>
  <c r="N66" i="10"/>
  <c r="L66" i="10"/>
  <c r="J66" i="10"/>
  <c r="H66" i="10"/>
  <c r="BD66" i="10" s="1"/>
  <c r="G66" i="10"/>
  <c r="BW65" i="10"/>
  <c r="BJ65" i="10"/>
  <c r="BH65" i="10"/>
  <c r="AB65" i="10" s="1"/>
  <c r="AO65" i="10"/>
  <c r="AK65" i="10"/>
  <c r="AJ65" i="10"/>
  <c r="AH65" i="10"/>
  <c r="AG65" i="10"/>
  <c r="AF65" i="10"/>
  <c r="AE65" i="10"/>
  <c r="AD65" i="10"/>
  <c r="Z65" i="10"/>
  <c r="O65" i="10"/>
  <c r="BF65" i="10" s="1"/>
  <c r="N65" i="10"/>
  <c r="H65" i="10"/>
  <c r="AP65" i="10" s="1"/>
  <c r="K65" i="10" s="1"/>
  <c r="G65" i="10"/>
  <c r="BI65" i="10" s="1"/>
  <c r="AC65" i="10" s="1"/>
  <c r="BW64" i="10"/>
  <c r="AP64" i="10"/>
  <c r="AK64" i="10"/>
  <c r="AJ64" i="10"/>
  <c r="AH64" i="10"/>
  <c r="AG64" i="10"/>
  <c r="AF64" i="10"/>
  <c r="AE64" i="10"/>
  <c r="AD64" i="10"/>
  <c r="Z64" i="10"/>
  <c r="N64" i="10"/>
  <c r="H64" i="10"/>
  <c r="AO64" i="10" s="1"/>
  <c r="G64" i="10"/>
  <c r="BW63" i="10"/>
  <c r="BJ63" i="10"/>
  <c r="BD63" i="10"/>
  <c r="AO63" i="10"/>
  <c r="BH63" i="10" s="1"/>
  <c r="AB63" i="10" s="1"/>
  <c r="AK63" i="10"/>
  <c r="AT62" i="10" s="1"/>
  <c r="AJ63" i="10"/>
  <c r="AH63" i="10"/>
  <c r="AG63" i="10"/>
  <c r="AF63" i="10"/>
  <c r="AE63" i="10"/>
  <c r="AD63" i="10"/>
  <c r="Z63" i="10"/>
  <c r="O63" i="10"/>
  <c r="N63" i="10"/>
  <c r="K63" i="10"/>
  <c r="H63" i="10"/>
  <c r="AP63" i="10" s="1"/>
  <c r="AX63" i="10" s="1"/>
  <c r="G63" i="10"/>
  <c r="AS62" i="10"/>
  <c r="BW61" i="10"/>
  <c r="AP61" i="10"/>
  <c r="AK61" i="10"/>
  <c r="AJ61" i="10"/>
  <c r="AH61" i="10"/>
  <c r="AG61" i="10"/>
  <c r="AF61" i="10"/>
  <c r="AE61" i="10"/>
  <c r="AD61" i="10"/>
  <c r="Z61" i="10"/>
  <c r="N61" i="10"/>
  <c r="H61" i="10"/>
  <c r="BD61" i="10" s="1"/>
  <c r="G61" i="10"/>
  <c r="BW60" i="10"/>
  <c r="AK60" i="10"/>
  <c r="AJ60" i="10"/>
  <c r="AH60" i="10"/>
  <c r="AG60" i="10"/>
  <c r="AF60" i="10"/>
  <c r="AE60" i="10"/>
  <c r="AD60" i="10"/>
  <c r="Z60" i="10"/>
  <c r="O60" i="10"/>
  <c r="BF60" i="10" s="1"/>
  <c r="N60" i="10"/>
  <c r="H60" i="10"/>
  <c r="BD60" i="10" s="1"/>
  <c r="G60" i="10"/>
  <c r="BW59" i="10"/>
  <c r="AP59" i="10"/>
  <c r="BI59" i="10" s="1"/>
  <c r="AC59" i="10" s="1"/>
  <c r="AK59" i="10"/>
  <c r="AJ59" i="10"/>
  <c r="AH59" i="10"/>
  <c r="AG59" i="10"/>
  <c r="AF59" i="10"/>
  <c r="AE59" i="10"/>
  <c r="AD59" i="10"/>
  <c r="Z59" i="10"/>
  <c r="N59" i="10"/>
  <c r="L59" i="10"/>
  <c r="J59" i="10"/>
  <c r="H59" i="10"/>
  <c r="AO59" i="10" s="1"/>
  <c r="G59" i="10"/>
  <c r="BW58" i="10"/>
  <c r="AK58" i="10"/>
  <c r="AJ58" i="10"/>
  <c r="AH58" i="10"/>
  <c r="AG58" i="10"/>
  <c r="AF58" i="10"/>
  <c r="AE58" i="10"/>
  <c r="AD58" i="10"/>
  <c r="Z58" i="10"/>
  <c r="O58" i="10"/>
  <c r="BF58" i="10" s="1"/>
  <c r="N58" i="10"/>
  <c r="H58" i="10"/>
  <c r="G58" i="10"/>
  <c r="BW57" i="10"/>
  <c r="AP57" i="10"/>
  <c r="BI57" i="10" s="1"/>
  <c r="AL57" i="10"/>
  <c r="AK57" i="10"/>
  <c r="AJ57" i="10"/>
  <c r="AH57" i="10"/>
  <c r="AG57" i="10"/>
  <c r="AF57" i="10"/>
  <c r="AE57" i="10"/>
  <c r="AD57" i="10"/>
  <c r="AC57" i="10"/>
  <c r="Z57" i="10"/>
  <c r="N57" i="10"/>
  <c r="L57" i="10"/>
  <c r="M57" i="10" s="1"/>
  <c r="H57" i="10"/>
  <c r="BD57" i="10" s="1"/>
  <c r="G57" i="10"/>
  <c r="BW56" i="10"/>
  <c r="BJ56" i="10"/>
  <c r="AO56" i="10"/>
  <c r="J56" i="10" s="1"/>
  <c r="AK56" i="10"/>
  <c r="AJ56" i="10"/>
  <c r="AH56" i="10"/>
  <c r="AG56" i="10"/>
  <c r="AF56" i="10"/>
  <c r="AE56" i="10"/>
  <c r="AD56" i="10"/>
  <c r="Z56" i="10"/>
  <c r="O56" i="10"/>
  <c r="BF56" i="10" s="1"/>
  <c r="N56" i="10"/>
  <c r="H56" i="10"/>
  <c r="AP56" i="10" s="1"/>
  <c r="K56" i="10" s="1"/>
  <c r="G56" i="10"/>
  <c r="BI56" i="10" s="1"/>
  <c r="AC56" i="10" s="1"/>
  <c r="BW55" i="10"/>
  <c r="AP55" i="10"/>
  <c r="AK55" i="10"/>
  <c r="AJ55" i="10"/>
  <c r="AS53" i="10" s="1"/>
  <c r="AH55" i="10"/>
  <c r="AG55" i="10"/>
  <c r="AF55" i="10"/>
  <c r="AE55" i="10"/>
  <c r="AD55" i="10"/>
  <c r="Z55" i="10"/>
  <c r="N55" i="10"/>
  <c r="H55" i="10"/>
  <c r="AO55" i="10" s="1"/>
  <c r="G55" i="10"/>
  <c r="BW54" i="10"/>
  <c r="BJ54" i="10"/>
  <c r="BH54" i="10"/>
  <c r="AB54" i="10" s="1"/>
  <c r="BD54" i="10"/>
  <c r="AO54" i="10"/>
  <c r="AK54" i="10"/>
  <c r="AJ54" i="10"/>
  <c r="AH54" i="10"/>
  <c r="AG54" i="10"/>
  <c r="AF54" i="10"/>
  <c r="AE54" i="10"/>
  <c r="AD54" i="10"/>
  <c r="Z54" i="10"/>
  <c r="O54" i="10"/>
  <c r="N54" i="10"/>
  <c r="K54" i="10"/>
  <c r="H54" i="10"/>
  <c r="AP54" i="10" s="1"/>
  <c r="AX54" i="10" s="1"/>
  <c r="G54" i="10"/>
  <c r="BW52" i="10"/>
  <c r="BI52" i="10"/>
  <c r="AE52" i="10" s="1"/>
  <c r="AP52" i="10"/>
  <c r="AK52" i="10"/>
  <c r="AJ52" i="10"/>
  <c r="AS51" i="10" s="1"/>
  <c r="AH52" i="10"/>
  <c r="AG52" i="10"/>
  <c r="AF52" i="10"/>
  <c r="AC52" i="10"/>
  <c r="AB52" i="10"/>
  <c r="Z52" i="10"/>
  <c r="N52" i="10"/>
  <c r="H52" i="10"/>
  <c r="BD52" i="10" s="1"/>
  <c r="G52" i="10"/>
  <c r="AT51" i="10"/>
  <c r="BW50" i="10"/>
  <c r="BD50" i="10"/>
  <c r="AK50" i="10"/>
  <c r="AJ50" i="10"/>
  <c r="AH50" i="10"/>
  <c r="AG50" i="10"/>
  <c r="AF50" i="10"/>
  <c r="AC50" i="10"/>
  <c r="AB50" i="10"/>
  <c r="Z50" i="10"/>
  <c r="O50" i="10"/>
  <c r="BF50" i="10" s="1"/>
  <c r="N50" i="10"/>
  <c r="H50" i="10"/>
  <c r="G50" i="10"/>
  <c r="BW49" i="10"/>
  <c r="BI49" i="10"/>
  <c r="AE49" i="10" s="1"/>
  <c r="AP49" i="10"/>
  <c r="AL49" i="10"/>
  <c r="AK49" i="10"/>
  <c r="AJ49" i="10"/>
  <c r="AS48" i="10" s="1"/>
  <c r="AH49" i="10"/>
  <c r="AG49" i="10"/>
  <c r="AF49" i="10"/>
  <c r="AC49" i="10"/>
  <c r="AB49" i="10"/>
  <c r="Z49" i="10"/>
  <c r="N49" i="10"/>
  <c r="L49" i="10"/>
  <c r="J49" i="10"/>
  <c r="H49" i="10"/>
  <c r="AO49" i="10" s="1"/>
  <c r="G49" i="10"/>
  <c r="AT48" i="10"/>
  <c r="BW47" i="10"/>
  <c r="BJ47" i="10"/>
  <c r="AK47" i="10"/>
  <c r="AJ47" i="10"/>
  <c r="AH47" i="10"/>
  <c r="AG47" i="10"/>
  <c r="AF47" i="10"/>
  <c r="AC47" i="10"/>
  <c r="AB47" i="10"/>
  <c r="Z47" i="10"/>
  <c r="O47" i="10"/>
  <c r="BF47" i="10" s="1"/>
  <c r="N47" i="10"/>
  <c r="H47" i="10"/>
  <c r="G47" i="10"/>
  <c r="BW46" i="10"/>
  <c r="AP46" i="10"/>
  <c r="AO46" i="10"/>
  <c r="AK46" i="10"/>
  <c r="AJ46" i="10"/>
  <c r="AS42" i="10" s="1"/>
  <c r="AH46" i="10"/>
  <c r="AG46" i="10"/>
  <c r="AF46" i="10"/>
  <c r="AC46" i="10"/>
  <c r="AB46" i="10"/>
  <c r="Z46" i="10"/>
  <c r="N46" i="10"/>
  <c r="L46" i="10"/>
  <c r="M46" i="10" s="1"/>
  <c r="J46" i="10"/>
  <c r="H46" i="10"/>
  <c r="BD46" i="10" s="1"/>
  <c r="G46" i="10"/>
  <c r="BW45" i="10"/>
  <c r="BJ45" i="10"/>
  <c r="AK45" i="10"/>
  <c r="AJ45" i="10"/>
  <c r="AH45" i="10"/>
  <c r="AG45" i="10"/>
  <c r="AF45" i="10"/>
  <c r="AC45" i="10"/>
  <c r="AB45" i="10"/>
  <c r="Z45" i="10"/>
  <c r="O45" i="10"/>
  <c r="BF45" i="10" s="1"/>
  <c r="N45" i="10"/>
  <c r="H45" i="10"/>
  <c r="G45" i="10"/>
  <c r="BW44" i="10"/>
  <c r="AP44" i="10"/>
  <c r="BI44" i="10" s="1"/>
  <c r="AE44" i="10" s="1"/>
  <c r="AL44" i="10"/>
  <c r="AK44" i="10"/>
  <c r="AJ44" i="10"/>
  <c r="AH44" i="10"/>
  <c r="AG44" i="10"/>
  <c r="AF44" i="10"/>
  <c r="AC44" i="10"/>
  <c r="AB44" i="10"/>
  <c r="Z44" i="10"/>
  <c r="N44" i="10"/>
  <c r="L44" i="10"/>
  <c r="M44" i="10" s="1"/>
  <c r="H44" i="10"/>
  <c r="AO44" i="10" s="1"/>
  <c r="J44" i="10" s="1"/>
  <c r="G44" i="10"/>
  <c r="BW43" i="10"/>
  <c r="BJ43" i="10"/>
  <c r="BH43" i="10"/>
  <c r="AD43" i="10" s="1"/>
  <c r="AO43" i="10"/>
  <c r="AK43" i="10"/>
  <c r="AJ43" i="10"/>
  <c r="AH43" i="10"/>
  <c r="AG43" i="10"/>
  <c r="AF43" i="10"/>
  <c r="AC43" i="10"/>
  <c r="AB43" i="10"/>
  <c r="Z43" i="10"/>
  <c r="O43" i="10"/>
  <c r="N43" i="10"/>
  <c r="H43" i="10"/>
  <c r="AP43" i="10" s="1"/>
  <c r="K43" i="10" s="1"/>
  <c r="G43" i="10"/>
  <c r="AW43" i="10" s="1"/>
  <c r="BW41" i="10"/>
  <c r="AW41" i="10"/>
  <c r="AP41" i="10"/>
  <c r="AO41" i="10"/>
  <c r="AL41" i="10"/>
  <c r="AU40" i="10" s="1"/>
  <c r="AK41" i="10"/>
  <c r="AJ41" i="10"/>
  <c r="AS40" i="10" s="1"/>
  <c r="AH41" i="10"/>
  <c r="AG41" i="10"/>
  <c r="AF41" i="10"/>
  <c r="AC41" i="10"/>
  <c r="AB41" i="10"/>
  <c r="Z41" i="10"/>
  <c r="N41" i="10"/>
  <c r="L41" i="10"/>
  <c r="J41" i="10"/>
  <c r="J40" i="10" s="1"/>
  <c r="H41" i="10"/>
  <c r="BD41" i="10" s="1"/>
  <c r="G41" i="10"/>
  <c r="AT40" i="10"/>
  <c r="L40" i="10"/>
  <c r="BW39" i="10"/>
  <c r="BJ39" i="10"/>
  <c r="AO39" i="10"/>
  <c r="AK39" i="10"/>
  <c r="AJ39" i="10"/>
  <c r="AH39" i="10"/>
  <c r="AG39" i="10"/>
  <c r="AF39" i="10"/>
  <c r="AC39" i="10"/>
  <c r="AB39" i="10"/>
  <c r="Z39" i="10"/>
  <c r="O39" i="10"/>
  <c r="BF39" i="10" s="1"/>
  <c r="N39" i="10"/>
  <c r="H39" i="10"/>
  <c r="AP39" i="10" s="1"/>
  <c r="K39" i="10" s="1"/>
  <c r="G39" i="10"/>
  <c r="BI39" i="10" s="1"/>
  <c r="AE39" i="10" s="1"/>
  <c r="BW38" i="10"/>
  <c r="AW38" i="10"/>
  <c r="AP38" i="10"/>
  <c r="AK38" i="10"/>
  <c r="AJ38" i="10"/>
  <c r="AS37" i="10" s="1"/>
  <c r="AH38" i="10"/>
  <c r="AG38" i="10"/>
  <c r="AF38" i="10"/>
  <c r="AC38" i="10"/>
  <c r="AB38" i="10"/>
  <c r="Z38" i="10"/>
  <c r="N38" i="10"/>
  <c r="H38" i="10"/>
  <c r="AO38" i="10" s="1"/>
  <c r="G38" i="10"/>
  <c r="AT37" i="10"/>
  <c r="BW36" i="10"/>
  <c r="BJ36" i="10"/>
  <c r="BH36" i="10"/>
  <c r="AD36" i="10" s="1"/>
  <c r="BD36" i="10"/>
  <c r="AO36" i="10"/>
  <c r="AK36" i="10"/>
  <c r="AT35" i="10" s="1"/>
  <c r="AJ36" i="10"/>
  <c r="AH36" i="10"/>
  <c r="AG36" i="10"/>
  <c r="AF36" i="10"/>
  <c r="AC36" i="10"/>
  <c r="AB36" i="10"/>
  <c r="Z36" i="10"/>
  <c r="O36" i="10"/>
  <c r="N36" i="10"/>
  <c r="K36" i="10"/>
  <c r="K35" i="10" s="1"/>
  <c r="H36" i="10"/>
  <c r="AP36" i="10" s="1"/>
  <c r="AX36" i="10" s="1"/>
  <c r="G36" i="10"/>
  <c r="AS35" i="10"/>
  <c r="BW34" i="10"/>
  <c r="BI34" i="10"/>
  <c r="AW34" i="10"/>
  <c r="AP34" i="10"/>
  <c r="AO34" i="10"/>
  <c r="AK34" i="10"/>
  <c r="AJ34" i="10"/>
  <c r="AS32" i="10" s="1"/>
  <c r="AH34" i="10"/>
  <c r="AG34" i="10"/>
  <c r="AF34" i="10"/>
  <c r="AE34" i="10"/>
  <c r="AC34" i="10"/>
  <c r="AB34" i="10"/>
  <c r="Z34" i="10"/>
  <c r="N34" i="10"/>
  <c r="H34" i="10"/>
  <c r="BD34" i="10" s="1"/>
  <c r="G34" i="10"/>
  <c r="BW33" i="10"/>
  <c r="BJ33" i="10"/>
  <c r="BD33" i="10"/>
  <c r="AO33" i="10"/>
  <c r="AK33" i="10"/>
  <c r="AT32" i="10" s="1"/>
  <c r="AJ33" i="10"/>
  <c r="AH33" i="10"/>
  <c r="AG33" i="10"/>
  <c r="AF33" i="10"/>
  <c r="AC33" i="10"/>
  <c r="AB33" i="10"/>
  <c r="Z33" i="10"/>
  <c r="O33" i="10"/>
  <c r="N33" i="10"/>
  <c r="K33" i="10"/>
  <c r="H33" i="10"/>
  <c r="AP33" i="10" s="1"/>
  <c r="AX33" i="10" s="1"/>
  <c r="G33" i="10"/>
  <c r="BI33" i="10" s="1"/>
  <c r="AE33" i="10" s="1"/>
  <c r="BW31" i="10"/>
  <c r="AP31" i="10"/>
  <c r="AK31" i="10"/>
  <c r="AJ31" i="10"/>
  <c r="AH31" i="10"/>
  <c r="AG31" i="10"/>
  <c r="AF31" i="10"/>
  <c r="AC31" i="10"/>
  <c r="AB31" i="10"/>
  <c r="Z31" i="10"/>
  <c r="N31" i="10"/>
  <c r="H31" i="10"/>
  <c r="AO31" i="10" s="1"/>
  <c r="G31" i="10"/>
  <c r="BW30" i="10"/>
  <c r="AK30" i="10"/>
  <c r="AJ30" i="10"/>
  <c r="AH30" i="10"/>
  <c r="AG30" i="10"/>
  <c r="AF30" i="10"/>
  <c r="AC30" i="10"/>
  <c r="AB30" i="10"/>
  <c r="Z30" i="10"/>
  <c r="O30" i="10"/>
  <c r="BF30" i="10" s="1"/>
  <c r="N30" i="10"/>
  <c r="H30" i="10"/>
  <c r="G30" i="10"/>
  <c r="BW29" i="10"/>
  <c r="AP29" i="10"/>
  <c r="AO29" i="10"/>
  <c r="AK29" i="10"/>
  <c r="AJ29" i="10"/>
  <c r="AS25" i="10" s="1"/>
  <c r="AH29" i="10"/>
  <c r="AG29" i="10"/>
  <c r="AF29" i="10"/>
  <c r="AC29" i="10"/>
  <c r="AB29" i="10"/>
  <c r="Z29" i="10"/>
  <c r="N29" i="10"/>
  <c r="H29" i="10"/>
  <c r="BD29" i="10" s="1"/>
  <c r="G29" i="10"/>
  <c r="BW28" i="10"/>
  <c r="AK28" i="10"/>
  <c r="C26" i="8" s="1"/>
  <c r="F26" i="8" s="1"/>
  <c r="AJ28" i="10"/>
  <c r="AH28" i="10"/>
  <c r="AG28" i="10"/>
  <c r="AF28" i="10"/>
  <c r="AC28" i="10"/>
  <c r="AB28" i="10"/>
  <c r="Z28" i="10"/>
  <c r="O28" i="10"/>
  <c r="BF28" i="10" s="1"/>
  <c r="N28" i="10"/>
  <c r="H28" i="10"/>
  <c r="G28" i="10"/>
  <c r="BW27" i="10"/>
  <c r="AP27" i="10"/>
  <c r="BI27" i="10" s="1"/>
  <c r="AE27" i="10" s="1"/>
  <c r="AK27" i="10"/>
  <c r="AJ27" i="10"/>
  <c r="AH27" i="10"/>
  <c r="AG27" i="10"/>
  <c r="AF27" i="10"/>
  <c r="AC27" i="10"/>
  <c r="AB27" i="10"/>
  <c r="Z27" i="10"/>
  <c r="N27" i="10"/>
  <c r="L27" i="10"/>
  <c r="M27" i="10" s="1"/>
  <c r="J27" i="10"/>
  <c r="H27" i="10"/>
  <c r="AO27" i="10" s="1"/>
  <c r="G27" i="10"/>
  <c r="BW26" i="10"/>
  <c r="BJ26" i="10"/>
  <c r="AK26" i="10"/>
  <c r="AJ26" i="10"/>
  <c r="AH26" i="10"/>
  <c r="AG26" i="10"/>
  <c r="AF26" i="10"/>
  <c r="AC26" i="10"/>
  <c r="AB26" i="10"/>
  <c r="Z26" i="10"/>
  <c r="O26" i="10"/>
  <c r="N26" i="10"/>
  <c r="H26" i="10"/>
  <c r="G26" i="10"/>
  <c r="BW24" i="10"/>
  <c r="AP24" i="10"/>
  <c r="AO24" i="10"/>
  <c r="AL24" i="10"/>
  <c r="AK24" i="10"/>
  <c r="AJ24" i="10"/>
  <c r="AH24" i="10"/>
  <c r="AG24" i="10"/>
  <c r="AF24" i="10"/>
  <c r="AC24" i="10"/>
  <c r="AB24" i="10"/>
  <c r="Z24" i="10"/>
  <c r="N24" i="10"/>
  <c r="L24" i="10"/>
  <c r="M24" i="10" s="1"/>
  <c r="J24" i="10"/>
  <c r="H24" i="10"/>
  <c r="BD24" i="10" s="1"/>
  <c r="G24" i="10"/>
  <c r="BW23" i="10"/>
  <c r="AK23" i="10"/>
  <c r="AT22" i="10" s="1"/>
  <c r="AJ23" i="10"/>
  <c r="AH23" i="10"/>
  <c r="AG23" i="10"/>
  <c r="AF23" i="10"/>
  <c r="AC23" i="10"/>
  <c r="AB23" i="10"/>
  <c r="Z23" i="10"/>
  <c r="O23" i="10"/>
  <c r="N23" i="10"/>
  <c r="H23" i="10"/>
  <c r="G23" i="10"/>
  <c r="AS22" i="10"/>
  <c r="BW21" i="10"/>
  <c r="AP21" i="10"/>
  <c r="BI21" i="10" s="1"/>
  <c r="AE21" i="10" s="1"/>
  <c r="AL21" i="10"/>
  <c r="AK21" i="10"/>
  <c r="AJ21" i="10"/>
  <c r="AH21" i="10"/>
  <c r="AG21" i="10"/>
  <c r="AF21" i="10"/>
  <c r="AC21" i="10"/>
  <c r="AB21" i="10"/>
  <c r="Z21" i="10"/>
  <c r="N21" i="10"/>
  <c r="L21" i="10"/>
  <c r="M21" i="10" s="1"/>
  <c r="J21" i="10"/>
  <c r="H21" i="10"/>
  <c r="AO21" i="10" s="1"/>
  <c r="G21" i="10"/>
  <c r="BW20" i="10"/>
  <c r="BJ20" i="10"/>
  <c r="AO20" i="10"/>
  <c r="BH20" i="10" s="1"/>
  <c r="AD20" i="10" s="1"/>
  <c r="AK20" i="10"/>
  <c r="AJ20" i="10"/>
  <c r="AH20" i="10"/>
  <c r="AG20" i="10"/>
  <c r="AF20" i="10"/>
  <c r="AC20" i="10"/>
  <c r="AB20" i="10"/>
  <c r="Z20" i="10"/>
  <c r="O20" i="10"/>
  <c r="BF20" i="10" s="1"/>
  <c r="N20" i="10"/>
  <c r="H20" i="10"/>
  <c r="AP20" i="10" s="1"/>
  <c r="K20" i="10" s="1"/>
  <c r="G20" i="10"/>
  <c r="AW20" i="10" s="1"/>
  <c r="BW19" i="10"/>
  <c r="AW19" i="10"/>
  <c r="AP19" i="10"/>
  <c r="AO19" i="10"/>
  <c r="AL19" i="10"/>
  <c r="AK19" i="10"/>
  <c r="AJ19" i="10"/>
  <c r="AS18" i="10" s="1"/>
  <c r="AH19" i="10"/>
  <c r="AG19" i="10"/>
  <c r="AF19" i="10"/>
  <c r="AC19" i="10"/>
  <c r="AB19" i="10"/>
  <c r="Z19" i="10"/>
  <c r="N19" i="10"/>
  <c r="L19" i="10"/>
  <c r="J19" i="10"/>
  <c r="H19" i="10"/>
  <c r="BD19" i="10" s="1"/>
  <c r="G19" i="10"/>
  <c r="AT18" i="10"/>
  <c r="BW17" i="10"/>
  <c r="BJ17" i="10"/>
  <c r="AO17" i="10"/>
  <c r="AK17" i="10"/>
  <c r="AT16" i="10" s="1"/>
  <c r="AJ17" i="10"/>
  <c r="AH17" i="10"/>
  <c r="AG17" i="10"/>
  <c r="AF17" i="10"/>
  <c r="AC17" i="10"/>
  <c r="AB17" i="10"/>
  <c r="Z17" i="10"/>
  <c r="O17" i="10"/>
  <c r="N17" i="10"/>
  <c r="H17" i="10"/>
  <c r="AP17" i="10" s="1"/>
  <c r="K17" i="10" s="1"/>
  <c r="K16" i="10" s="1"/>
  <c r="G17" i="10"/>
  <c r="BI17" i="10" s="1"/>
  <c r="AE17" i="10" s="1"/>
  <c r="AS16" i="10"/>
  <c r="BW15" i="10"/>
  <c r="AP15" i="10"/>
  <c r="AK15" i="10"/>
  <c r="AJ15" i="10"/>
  <c r="AH15" i="10"/>
  <c r="AG15" i="10"/>
  <c r="AF15" i="10"/>
  <c r="AC15" i="10"/>
  <c r="AB15" i="10"/>
  <c r="Z15" i="10"/>
  <c r="N15" i="10"/>
  <c r="H15" i="10"/>
  <c r="AO15" i="10" s="1"/>
  <c r="G15" i="10"/>
  <c r="BW14" i="10"/>
  <c r="BJ14" i="10"/>
  <c r="BD14" i="10"/>
  <c r="AO14" i="10"/>
  <c r="BH14" i="10" s="1"/>
  <c r="AD14" i="10" s="1"/>
  <c r="AK14" i="10"/>
  <c r="AT13" i="10" s="1"/>
  <c r="AJ14" i="10"/>
  <c r="AH14" i="10"/>
  <c r="AG14" i="10"/>
  <c r="AF14" i="10"/>
  <c r="AC14" i="10"/>
  <c r="AB14" i="10"/>
  <c r="Z14" i="10"/>
  <c r="O14" i="10"/>
  <c r="N14" i="10"/>
  <c r="K14" i="10"/>
  <c r="H14" i="10"/>
  <c r="AP14" i="10" s="1"/>
  <c r="AX14" i="10" s="1"/>
  <c r="G14" i="10"/>
  <c r="AS13" i="10"/>
  <c r="K8" i="10"/>
  <c r="H8" i="10"/>
  <c r="D8" i="10"/>
  <c r="K6" i="10"/>
  <c r="H6" i="10"/>
  <c r="D6" i="10"/>
  <c r="K4" i="10"/>
  <c r="H4" i="10"/>
  <c r="D4" i="10"/>
  <c r="K2" i="10"/>
  <c r="H2" i="10"/>
  <c r="D2" i="10"/>
  <c r="AU1" i="10"/>
  <c r="AT1" i="10"/>
  <c r="AS1" i="10"/>
  <c r="I36" i="9"/>
  <c r="I35" i="9"/>
  <c r="I26" i="9"/>
  <c r="I25" i="9"/>
  <c r="I24" i="9"/>
  <c r="I17" i="8" s="1"/>
  <c r="I23" i="9"/>
  <c r="I22" i="9"/>
  <c r="I15" i="8" s="1"/>
  <c r="I21" i="9"/>
  <c r="I17" i="9"/>
  <c r="I16" i="9"/>
  <c r="I15" i="9"/>
  <c r="I10" i="9"/>
  <c r="F10" i="9"/>
  <c r="C10" i="9"/>
  <c r="F8" i="9"/>
  <c r="C8" i="9"/>
  <c r="F6" i="9"/>
  <c r="C6" i="9"/>
  <c r="F4" i="9"/>
  <c r="C4" i="9"/>
  <c r="F2" i="9"/>
  <c r="C2" i="9"/>
  <c r="I23" i="8"/>
  <c r="I19" i="8"/>
  <c r="I18" i="8"/>
  <c r="I16" i="8"/>
  <c r="F16" i="8"/>
  <c r="I14" i="8"/>
  <c r="F14" i="8"/>
  <c r="I10" i="8"/>
  <c r="F10" i="8"/>
  <c r="C10" i="8"/>
  <c r="F8" i="8"/>
  <c r="C8" i="8"/>
  <c r="F6" i="8"/>
  <c r="C6" i="8"/>
  <c r="F4" i="8"/>
  <c r="C4" i="8"/>
  <c r="F2" i="8"/>
  <c r="C2" i="8"/>
  <c r="IS205" i="7"/>
  <c r="IR205" i="7"/>
  <c r="IS204" i="7"/>
  <c r="IR204" i="7"/>
  <c r="IS202" i="7"/>
  <c r="IR202" i="7"/>
  <c r="IS201" i="7"/>
  <c r="IR201" i="7"/>
  <c r="IS200" i="7"/>
  <c r="IR200" i="7"/>
  <c r="IS199" i="7"/>
  <c r="IR199" i="7"/>
  <c r="IS197" i="7"/>
  <c r="IR197" i="7"/>
  <c r="IS196" i="7"/>
  <c r="IR196" i="7"/>
  <c r="IS195" i="7"/>
  <c r="IR195" i="7"/>
  <c r="IS194" i="7"/>
  <c r="IR194" i="7"/>
  <c r="IS193" i="7"/>
  <c r="IR193" i="7"/>
  <c r="IS192" i="7"/>
  <c r="IR192" i="7"/>
  <c r="IS191" i="7"/>
  <c r="IR191" i="7"/>
  <c r="IS190" i="7"/>
  <c r="IR190" i="7"/>
  <c r="IS189" i="7"/>
  <c r="IR189" i="7"/>
  <c r="IS187" i="7"/>
  <c r="IR187" i="7"/>
  <c r="IS186" i="7"/>
  <c r="IR186" i="7"/>
  <c r="IS185" i="7"/>
  <c r="IR185" i="7"/>
  <c r="IS184" i="7"/>
  <c r="IR184" i="7"/>
  <c r="IS183" i="7"/>
  <c r="IR183" i="7"/>
  <c r="IS182" i="7"/>
  <c r="IR182" i="7"/>
  <c r="IS181" i="7"/>
  <c r="IR181" i="7"/>
  <c r="IS180" i="7"/>
  <c r="IR180" i="7"/>
  <c r="IS179" i="7"/>
  <c r="IR179" i="7"/>
  <c r="IS178" i="7"/>
  <c r="IR178" i="7"/>
  <c r="IS177" i="7"/>
  <c r="IR177" i="7"/>
  <c r="IS176" i="7"/>
  <c r="IR176" i="7"/>
  <c r="IS175" i="7"/>
  <c r="IR175" i="7"/>
  <c r="IS173" i="7"/>
  <c r="IR173" i="7"/>
  <c r="IS172" i="7"/>
  <c r="IR172" i="7"/>
  <c r="IS171" i="7"/>
  <c r="IR171" i="7"/>
  <c r="IS169" i="7"/>
  <c r="IR169" i="7"/>
  <c r="IS166" i="7"/>
  <c r="IR166" i="7"/>
  <c r="IS165" i="7"/>
  <c r="IR165" i="7"/>
  <c r="IS164" i="7"/>
  <c r="IR164" i="7"/>
  <c r="IS163" i="7"/>
  <c r="IR163" i="7"/>
  <c r="IS162" i="7"/>
  <c r="IR162" i="7"/>
  <c r="IS161" i="7"/>
  <c r="IR161" i="7"/>
  <c r="IS158" i="7"/>
  <c r="IR158" i="7"/>
  <c r="IS157" i="7"/>
  <c r="IR157" i="7"/>
  <c r="IS156" i="7"/>
  <c r="IR156" i="7"/>
  <c r="IS154" i="7"/>
  <c r="IR154" i="7"/>
  <c r="IS153" i="7"/>
  <c r="IR153" i="7"/>
  <c r="IS151" i="7"/>
  <c r="IR151" i="7"/>
  <c r="IS150" i="7"/>
  <c r="IR150" i="7"/>
  <c r="IS149" i="7"/>
  <c r="IR149" i="7"/>
  <c r="IS147" i="7"/>
  <c r="IR147" i="7"/>
  <c r="IS145" i="7"/>
  <c r="IR145" i="7"/>
  <c r="IS144" i="7"/>
  <c r="IR144" i="7"/>
  <c r="IS143" i="7"/>
  <c r="IR143" i="7"/>
  <c r="IS141" i="7"/>
  <c r="IR141" i="7"/>
  <c r="IS140" i="7"/>
  <c r="IR140" i="7"/>
  <c r="IS138" i="7"/>
  <c r="IR138" i="7"/>
  <c r="IS137" i="7"/>
  <c r="IR137" i="7"/>
  <c r="IS136" i="7"/>
  <c r="IR136" i="7"/>
  <c r="IS135" i="7"/>
  <c r="IR135" i="7"/>
  <c r="IS134" i="7"/>
  <c r="IR134" i="7"/>
  <c r="IS133" i="7"/>
  <c r="IR133" i="7"/>
  <c r="IS131" i="7"/>
  <c r="IR131" i="7"/>
  <c r="IS129" i="7"/>
  <c r="IR129" i="7"/>
  <c r="IS128" i="7"/>
  <c r="IR128" i="7"/>
  <c r="IS127" i="7"/>
  <c r="IR127" i="7"/>
  <c r="IS126" i="7"/>
  <c r="IR126" i="7"/>
  <c r="IS123" i="7"/>
  <c r="IR123" i="7"/>
  <c r="IS122" i="7"/>
  <c r="IR122" i="7"/>
  <c r="IS121" i="7"/>
  <c r="IR121" i="7"/>
  <c r="IS119" i="7"/>
  <c r="IR119" i="7"/>
  <c r="IS117" i="7"/>
  <c r="IR117" i="7"/>
  <c r="IS116" i="7"/>
  <c r="IR116" i="7"/>
  <c r="IS114" i="7"/>
  <c r="IR114" i="7"/>
  <c r="IS113" i="7"/>
  <c r="IR113" i="7"/>
  <c r="IS111" i="7"/>
  <c r="IR111" i="7"/>
  <c r="IS110" i="7"/>
  <c r="IR110" i="7"/>
  <c r="IS108" i="7"/>
  <c r="IR108" i="7"/>
  <c r="IS105" i="7"/>
  <c r="IR105" i="7"/>
  <c r="IS104" i="7"/>
  <c r="IR104" i="7"/>
  <c r="IS103" i="7"/>
  <c r="IR103" i="7"/>
  <c r="IS102" i="7"/>
  <c r="IR102" i="7"/>
  <c r="IS101" i="7"/>
  <c r="IR101" i="7"/>
  <c r="IS100" i="7"/>
  <c r="IR100" i="7"/>
  <c r="IS99" i="7"/>
  <c r="IR99" i="7"/>
  <c r="IS98" i="7"/>
  <c r="IR98" i="7"/>
  <c r="IS97" i="7"/>
  <c r="IR97" i="7"/>
  <c r="IS96" i="7"/>
  <c r="IR96" i="7"/>
  <c r="IS95" i="7"/>
  <c r="IR95" i="7"/>
  <c r="IS94" i="7"/>
  <c r="IR94" i="7"/>
  <c r="IS93" i="7"/>
  <c r="IR93" i="7"/>
  <c r="IS92" i="7"/>
  <c r="IR92" i="7"/>
  <c r="IS91" i="7"/>
  <c r="IR91" i="7"/>
  <c r="IS90" i="7"/>
  <c r="IR90" i="7"/>
  <c r="IS89" i="7"/>
  <c r="IR89" i="7"/>
  <c r="IS88" i="7"/>
  <c r="IR88" i="7"/>
  <c r="IS87" i="7"/>
  <c r="IR87" i="7"/>
  <c r="IS86" i="7"/>
  <c r="IR86" i="7"/>
  <c r="IS85" i="7"/>
  <c r="IR85" i="7"/>
  <c r="IS84" i="7"/>
  <c r="IR84" i="7"/>
  <c r="IS82" i="7"/>
  <c r="IR82" i="7"/>
  <c r="IS81" i="7"/>
  <c r="IR81" i="7"/>
  <c r="IS80" i="7"/>
  <c r="IR80" i="7"/>
  <c r="IS78" i="7"/>
  <c r="IR78" i="7"/>
  <c r="IS77" i="7"/>
  <c r="IR77" i="7"/>
  <c r="IS76" i="7"/>
  <c r="IR76" i="7"/>
  <c r="IS74" i="7"/>
  <c r="IR74" i="7"/>
  <c r="IS73" i="7"/>
  <c r="IR73" i="7"/>
  <c r="IS72" i="7"/>
  <c r="IR72" i="7"/>
  <c r="IS71" i="7"/>
  <c r="IR71" i="7"/>
  <c r="IS70" i="7"/>
  <c r="IR70" i="7"/>
  <c r="IS69" i="7"/>
  <c r="IR69" i="7"/>
  <c r="IS68" i="7"/>
  <c r="IR68" i="7"/>
  <c r="IS67" i="7"/>
  <c r="IR67" i="7"/>
  <c r="IS66" i="7"/>
  <c r="IR66" i="7"/>
  <c r="IS65" i="7"/>
  <c r="IR65" i="7"/>
  <c r="IS64" i="7"/>
  <c r="IR64" i="7"/>
  <c r="IS63" i="7"/>
  <c r="IR63" i="7"/>
  <c r="IS62" i="7"/>
  <c r="IR62" i="7"/>
  <c r="IS61" i="7"/>
  <c r="IR61" i="7"/>
  <c r="IS60" i="7"/>
  <c r="IR60" i="7"/>
  <c r="IS59" i="7"/>
  <c r="IR59" i="7"/>
  <c r="IS57" i="7"/>
  <c r="IR57" i="7"/>
  <c r="IS56" i="7"/>
  <c r="IR56" i="7"/>
  <c r="IS55" i="7"/>
  <c r="IR55" i="7"/>
  <c r="IS54" i="7"/>
  <c r="IR54" i="7"/>
  <c r="IS53" i="7"/>
  <c r="IR53" i="7"/>
  <c r="IS51" i="7"/>
  <c r="IR51" i="7"/>
  <c r="IS50" i="7"/>
  <c r="IR50" i="7"/>
  <c r="IS49" i="7"/>
  <c r="IR49" i="7"/>
  <c r="IS48" i="7"/>
  <c r="IR48" i="7"/>
  <c r="IS47" i="7"/>
  <c r="IR47" i="7"/>
  <c r="IS46" i="7"/>
  <c r="IR46" i="7"/>
  <c r="IS45" i="7"/>
  <c r="IR45" i="7"/>
  <c r="IS44" i="7"/>
  <c r="IR44" i="7"/>
  <c r="IS42" i="7"/>
  <c r="IR42" i="7"/>
  <c r="IS40" i="7"/>
  <c r="IR40" i="7"/>
  <c r="IS39" i="7"/>
  <c r="IR39" i="7"/>
  <c r="IS37" i="7"/>
  <c r="IR37" i="7"/>
  <c r="IS36" i="7"/>
  <c r="IR36" i="7"/>
  <c r="IS35" i="7"/>
  <c r="IR35" i="7"/>
  <c r="IS34" i="7"/>
  <c r="IR34" i="7"/>
  <c r="IS33" i="7"/>
  <c r="IR33" i="7"/>
  <c r="IS31" i="7"/>
  <c r="IR31" i="7"/>
  <c r="IS29" i="7"/>
  <c r="IR29" i="7"/>
  <c r="IS28" i="7"/>
  <c r="IR28" i="7"/>
  <c r="IS26" i="7"/>
  <c r="IR26" i="7"/>
  <c r="IS24" i="7"/>
  <c r="IR24" i="7"/>
  <c r="IS23" i="7"/>
  <c r="IR23" i="7"/>
  <c r="IS21" i="7"/>
  <c r="IR21" i="7"/>
  <c r="IS20" i="7"/>
  <c r="IR20" i="7"/>
  <c r="IS19" i="7"/>
  <c r="IR19" i="7"/>
  <c r="IS18" i="7"/>
  <c r="IR18" i="7"/>
  <c r="IS17" i="7"/>
  <c r="IR17" i="7"/>
  <c r="IS16" i="7"/>
  <c r="IR16" i="7"/>
  <c r="IS14" i="7"/>
  <c r="IR14" i="7"/>
  <c r="IS13" i="7"/>
  <c r="IR13" i="7"/>
  <c r="IS11" i="7"/>
  <c r="IR11" i="7"/>
  <c r="IS10" i="7"/>
  <c r="IR10" i="7"/>
  <c r="IS9" i="7"/>
  <c r="IR9" i="7"/>
  <c r="IS7" i="7"/>
  <c r="IR7" i="7"/>
  <c r="IS5" i="7"/>
  <c r="IR5" i="7"/>
  <c r="IS4" i="7"/>
  <c r="IR4" i="7"/>
  <c r="F8" i="6"/>
  <c r="C8" i="6"/>
  <c r="F6" i="6"/>
  <c r="C6" i="6"/>
  <c r="F4" i="6"/>
  <c r="C4" i="6"/>
  <c r="F2" i="6"/>
  <c r="C2" i="6"/>
  <c r="BW215" i="5"/>
  <c r="M215" i="5" s="1"/>
  <c r="BJ215" i="5"/>
  <c r="BF215" i="5"/>
  <c r="BD215" i="5"/>
  <c r="BC215" i="5"/>
  <c r="AW215" i="5"/>
  <c r="AP215" i="5"/>
  <c r="AX215" i="5" s="1"/>
  <c r="AO215" i="5"/>
  <c r="BH215" i="5" s="1"/>
  <c r="AB215" i="5" s="1"/>
  <c r="AL215" i="5"/>
  <c r="AU213" i="5" s="1"/>
  <c r="AK215" i="5"/>
  <c r="AJ215" i="5"/>
  <c r="AH215" i="5"/>
  <c r="AG215" i="5"/>
  <c r="AF215" i="5"/>
  <c r="AE215" i="5"/>
  <c r="AD215" i="5"/>
  <c r="Z215" i="5"/>
  <c r="O215" i="5"/>
  <c r="L215" i="5"/>
  <c r="J215" i="5"/>
  <c r="BW214" i="5"/>
  <c r="M214" i="5" s="1"/>
  <c r="BJ214" i="5"/>
  <c r="BF214" i="5"/>
  <c r="BD214" i="5"/>
  <c r="BC214" i="5"/>
  <c r="AW214" i="5"/>
  <c r="AP214" i="5"/>
  <c r="AX214" i="5" s="1"/>
  <c r="AO214" i="5"/>
  <c r="BH214" i="5" s="1"/>
  <c r="AF214" i="5" s="1"/>
  <c r="AL214" i="5"/>
  <c r="AK214" i="5"/>
  <c r="AJ214" i="5"/>
  <c r="AS213" i="5" s="1"/>
  <c r="AH214" i="5"/>
  <c r="AE214" i="5"/>
  <c r="AD214" i="5"/>
  <c r="AC214" i="5"/>
  <c r="AB214" i="5"/>
  <c r="Z214" i="5"/>
  <c r="O214" i="5"/>
  <c r="L214" i="5"/>
  <c r="J214" i="5"/>
  <c r="AT213" i="5"/>
  <c r="O213" i="5"/>
  <c r="L213" i="5"/>
  <c r="J213" i="5"/>
  <c r="BW212" i="5"/>
  <c r="M212" i="5" s="1"/>
  <c r="BJ212" i="5"/>
  <c r="BF212" i="5"/>
  <c r="BD212" i="5"/>
  <c r="BC212" i="5"/>
  <c r="AW212" i="5"/>
  <c r="AP212" i="5"/>
  <c r="AX212" i="5" s="1"/>
  <c r="AO212" i="5"/>
  <c r="BH212" i="5" s="1"/>
  <c r="AB212" i="5" s="1"/>
  <c r="AL212" i="5"/>
  <c r="AK212" i="5"/>
  <c r="AJ212" i="5"/>
  <c r="AH212" i="5"/>
  <c r="AG212" i="5"/>
  <c r="AF212" i="5"/>
  <c r="AE212" i="5"/>
  <c r="AD212" i="5"/>
  <c r="Z212" i="5"/>
  <c r="O212" i="5"/>
  <c r="L212" i="5"/>
  <c r="J212" i="5"/>
  <c r="BW211" i="5"/>
  <c r="M211" i="5" s="1"/>
  <c r="BJ211" i="5"/>
  <c r="BF211" i="5"/>
  <c r="BD211" i="5"/>
  <c r="BC211" i="5"/>
  <c r="AW211" i="5"/>
  <c r="AP211" i="5"/>
  <c r="AX211" i="5" s="1"/>
  <c r="AO211" i="5"/>
  <c r="BH211" i="5" s="1"/>
  <c r="AB211" i="5" s="1"/>
  <c r="AL211" i="5"/>
  <c r="AK211" i="5"/>
  <c r="AJ211" i="5"/>
  <c r="AH211" i="5"/>
  <c r="AG211" i="5"/>
  <c r="AF211" i="5"/>
  <c r="AE211" i="5"/>
  <c r="AD211" i="5"/>
  <c r="Z211" i="5"/>
  <c r="O211" i="5"/>
  <c r="L211" i="5"/>
  <c r="J211" i="5"/>
  <c r="BW210" i="5"/>
  <c r="BJ210" i="5"/>
  <c r="BF210" i="5"/>
  <c r="BD210" i="5"/>
  <c r="BC210" i="5"/>
  <c r="AW210" i="5"/>
  <c r="AP210" i="5"/>
  <c r="AX210" i="5" s="1"/>
  <c r="AO210" i="5"/>
  <c r="BH210" i="5" s="1"/>
  <c r="AL210" i="5"/>
  <c r="AK210" i="5"/>
  <c r="AJ210" i="5"/>
  <c r="AH210" i="5"/>
  <c r="AG210" i="5"/>
  <c r="AF210" i="5"/>
  <c r="AE210" i="5"/>
  <c r="AD210" i="5"/>
  <c r="AC210" i="5"/>
  <c r="AB210" i="5"/>
  <c r="Z210" i="5"/>
  <c r="O210" i="5"/>
  <c r="M210" i="5"/>
  <c r="L210" i="5"/>
  <c r="K210" i="5"/>
  <c r="J210" i="5"/>
  <c r="BW209" i="5"/>
  <c r="M209" i="5" s="1"/>
  <c r="BJ209" i="5"/>
  <c r="BF209" i="5"/>
  <c r="BD209" i="5"/>
  <c r="AW209" i="5"/>
  <c r="AP209" i="5"/>
  <c r="AO209" i="5"/>
  <c r="BH209" i="5" s="1"/>
  <c r="AL209" i="5"/>
  <c r="AK209" i="5"/>
  <c r="AJ209" i="5"/>
  <c r="AS208" i="5" s="1"/>
  <c r="AH209" i="5"/>
  <c r="AG209" i="5"/>
  <c r="AF209" i="5"/>
  <c r="AE209" i="5"/>
  <c r="AD209" i="5"/>
  <c r="AC209" i="5"/>
  <c r="AB209" i="5"/>
  <c r="Z209" i="5"/>
  <c r="O209" i="5"/>
  <c r="L209" i="5"/>
  <c r="J209" i="5"/>
  <c r="AT208" i="5"/>
  <c r="O208" i="5"/>
  <c r="L208" i="5"/>
  <c r="J208" i="5"/>
  <c r="BW207" i="5"/>
  <c r="BJ207" i="5"/>
  <c r="BF207" i="5"/>
  <c r="BD207" i="5"/>
  <c r="AW207" i="5"/>
  <c r="AP207" i="5"/>
  <c r="AX207" i="5" s="1"/>
  <c r="AO207" i="5"/>
  <c r="BH207" i="5" s="1"/>
  <c r="AL207" i="5"/>
  <c r="AK207" i="5"/>
  <c r="AJ207" i="5"/>
  <c r="AS198" i="5" s="1"/>
  <c r="AH207" i="5"/>
  <c r="AG207" i="5"/>
  <c r="AF207" i="5"/>
  <c r="AE207" i="5"/>
  <c r="AD207" i="5"/>
  <c r="AC207" i="5"/>
  <c r="AB207" i="5"/>
  <c r="Z207" i="5"/>
  <c r="O207" i="5"/>
  <c r="M207" i="5"/>
  <c r="L207" i="5"/>
  <c r="K207" i="5"/>
  <c r="J207" i="5"/>
  <c r="BW206" i="5"/>
  <c r="BJ206" i="5"/>
  <c r="BI206" i="5"/>
  <c r="AE206" i="5" s="1"/>
  <c r="BF206" i="5"/>
  <c r="BD206" i="5"/>
  <c r="AW206" i="5"/>
  <c r="AP206" i="5"/>
  <c r="AX206" i="5" s="1"/>
  <c r="AO206" i="5"/>
  <c r="BH206" i="5" s="1"/>
  <c r="AD206" i="5" s="1"/>
  <c r="AL206" i="5"/>
  <c r="AK206" i="5"/>
  <c r="AJ206" i="5"/>
  <c r="AH206" i="5"/>
  <c r="AG206" i="5"/>
  <c r="AF206" i="5"/>
  <c r="AC206" i="5"/>
  <c r="AB206" i="5"/>
  <c r="Z206" i="5"/>
  <c r="O206" i="5"/>
  <c r="M206" i="5"/>
  <c r="L206" i="5"/>
  <c r="K206" i="5"/>
  <c r="J206" i="5"/>
  <c r="BW205" i="5"/>
  <c r="BJ205" i="5"/>
  <c r="BI205" i="5"/>
  <c r="AE205" i="5" s="1"/>
  <c r="BF205" i="5"/>
  <c r="BD205" i="5"/>
  <c r="AW205" i="5"/>
  <c r="AV205" i="5" s="1"/>
  <c r="AP205" i="5"/>
  <c r="AX205" i="5" s="1"/>
  <c r="AO205" i="5"/>
  <c r="BH205" i="5" s="1"/>
  <c r="AD205" i="5" s="1"/>
  <c r="AL205" i="5"/>
  <c r="AK205" i="5"/>
  <c r="AJ205" i="5"/>
  <c r="AH205" i="5"/>
  <c r="AG205" i="5"/>
  <c r="AF205" i="5"/>
  <c r="AC205" i="5"/>
  <c r="AB205" i="5"/>
  <c r="Z205" i="5"/>
  <c r="O205" i="5"/>
  <c r="M205" i="5"/>
  <c r="L205" i="5"/>
  <c r="K205" i="5"/>
  <c r="J205" i="5"/>
  <c r="BW204" i="5"/>
  <c r="BJ204" i="5"/>
  <c r="BI204" i="5"/>
  <c r="AE204" i="5" s="1"/>
  <c r="BF204" i="5"/>
  <c r="BD204" i="5"/>
  <c r="AW204" i="5"/>
  <c r="AV204" i="5" s="1"/>
  <c r="AP204" i="5"/>
  <c r="AX204" i="5" s="1"/>
  <c r="AO204" i="5"/>
  <c r="BH204" i="5" s="1"/>
  <c r="AD204" i="5" s="1"/>
  <c r="AL204" i="5"/>
  <c r="AK204" i="5"/>
  <c r="AJ204" i="5"/>
  <c r="AH204" i="5"/>
  <c r="AG204" i="5"/>
  <c r="AF204" i="5"/>
  <c r="AC204" i="5"/>
  <c r="AB204" i="5"/>
  <c r="Z204" i="5"/>
  <c r="O204" i="5"/>
  <c r="M204" i="5"/>
  <c r="L204" i="5"/>
  <c r="K204" i="5"/>
  <c r="J204" i="5"/>
  <c r="BW203" i="5"/>
  <c r="BJ203" i="5"/>
  <c r="BI203" i="5"/>
  <c r="AE203" i="5" s="1"/>
  <c r="BF203" i="5"/>
  <c r="BD203" i="5"/>
  <c r="BC203" i="5"/>
  <c r="AW203" i="5"/>
  <c r="AV203" i="5" s="1"/>
  <c r="AP203" i="5"/>
  <c r="AX203" i="5" s="1"/>
  <c r="AO203" i="5"/>
  <c r="BH203" i="5" s="1"/>
  <c r="AD203" i="5" s="1"/>
  <c r="AL203" i="5"/>
  <c r="AK203" i="5"/>
  <c r="AJ203" i="5"/>
  <c r="AH203" i="5"/>
  <c r="AG203" i="5"/>
  <c r="AF203" i="5"/>
  <c r="AC203" i="5"/>
  <c r="AB203" i="5"/>
  <c r="Z203" i="5"/>
  <c r="O203" i="5"/>
  <c r="M203" i="5"/>
  <c r="L203" i="5"/>
  <c r="K203" i="5"/>
  <c r="J203" i="5"/>
  <c r="BW202" i="5"/>
  <c r="BJ202" i="5"/>
  <c r="BI202" i="5"/>
  <c r="AE202" i="5" s="1"/>
  <c r="BF202" i="5"/>
  <c r="BD202" i="5"/>
  <c r="AW202" i="5"/>
  <c r="AP202" i="5"/>
  <c r="AX202" i="5" s="1"/>
  <c r="AO202" i="5"/>
  <c r="BH202" i="5" s="1"/>
  <c r="AD202" i="5" s="1"/>
  <c r="AL202" i="5"/>
  <c r="AK202" i="5"/>
  <c r="AJ202" i="5"/>
  <c r="AH202" i="5"/>
  <c r="AG202" i="5"/>
  <c r="AF202" i="5"/>
  <c r="AC202" i="5"/>
  <c r="AB202" i="5"/>
  <c r="Z202" i="5"/>
  <c r="O202" i="5"/>
  <c r="M202" i="5"/>
  <c r="L202" i="5"/>
  <c r="K202" i="5"/>
  <c r="J202" i="5"/>
  <c r="BW201" i="5"/>
  <c r="BJ201" i="5"/>
  <c r="BI201" i="5"/>
  <c r="AE201" i="5" s="1"/>
  <c r="BF201" i="5"/>
  <c r="BD201" i="5"/>
  <c r="AW201" i="5"/>
  <c r="AV201" i="5" s="1"/>
  <c r="AP201" i="5"/>
  <c r="AX201" i="5" s="1"/>
  <c r="AO201" i="5"/>
  <c r="BH201" i="5" s="1"/>
  <c r="AD201" i="5" s="1"/>
  <c r="AL201" i="5"/>
  <c r="AK201" i="5"/>
  <c r="AJ201" i="5"/>
  <c r="AH201" i="5"/>
  <c r="AG201" i="5"/>
  <c r="AF201" i="5"/>
  <c r="AC201" i="5"/>
  <c r="AB201" i="5"/>
  <c r="Z201" i="5"/>
  <c r="O201" i="5"/>
  <c r="M201" i="5"/>
  <c r="L201" i="5"/>
  <c r="K201" i="5"/>
  <c r="J201" i="5"/>
  <c r="BW200" i="5"/>
  <c r="BJ200" i="5"/>
  <c r="BI200" i="5"/>
  <c r="AE200" i="5" s="1"/>
  <c r="BF200" i="5"/>
  <c r="BD200" i="5"/>
  <c r="AW200" i="5"/>
  <c r="AV200" i="5" s="1"/>
  <c r="AP200" i="5"/>
  <c r="AX200" i="5" s="1"/>
  <c r="AO200" i="5"/>
  <c r="BH200" i="5" s="1"/>
  <c r="AD200" i="5" s="1"/>
  <c r="AL200" i="5"/>
  <c r="AK200" i="5"/>
  <c r="AJ200" i="5"/>
  <c r="AH200" i="5"/>
  <c r="AG200" i="5"/>
  <c r="AF200" i="5"/>
  <c r="AC200" i="5"/>
  <c r="AB200" i="5"/>
  <c r="Z200" i="5"/>
  <c r="O200" i="5"/>
  <c r="M200" i="5"/>
  <c r="L200" i="5"/>
  <c r="K200" i="5"/>
  <c r="J200" i="5"/>
  <c r="BW199" i="5"/>
  <c r="BJ199" i="5"/>
  <c r="BI199" i="5"/>
  <c r="AE199" i="5" s="1"/>
  <c r="BF199" i="5"/>
  <c r="BD199" i="5"/>
  <c r="BC199" i="5"/>
  <c r="AW199" i="5"/>
  <c r="AV199" i="5" s="1"/>
  <c r="AP199" i="5"/>
  <c r="AX199" i="5" s="1"/>
  <c r="AO199" i="5"/>
  <c r="BH199" i="5" s="1"/>
  <c r="AD199" i="5" s="1"/>
  <c r="AL199" i="5"/>
  <c r="AK199" i="5"/>
  <c r="AJ199" i="5"/>
  <c r="AH199" i="5"/>
  <c r="AG199" i="5"/>
  <c r="AF199" i="5"/>
  <c r="AC199" i="5"/>
  <c r="AB199" i="5"/>
  <c r="Z199" i="5"/>
  <c r="O199" i="5"/>
  <c r="M199" i="5"/>
  <c r="L199" i="5"/>
  <c r="K199" i="5"/>
  <c r="J199" i="5"/>
  <c r="AT198" i="5"/>
  <c r="O198" i="5"/>
  <c r="M198" i="5"/>
  <c r="L198" i="5"/>
  <c r="J198" i="5"/>
  <c r="BW197" i="5"/>
  <c r="BJ197" i="5"/>
  <c r="BI197" i="5"/>
  <c r="BF197" i="5"/>
  <c r="BD197" i="5"/>
  <c r="AW197" i="5"/>
  <c r="AV197" i="5" s="1"/>
  <c r="AP197" i="5"/>
  <c r="AX197" i="5" s="1"/>
  <c r="AO197" i="5"/>
  <c r="BH197" i="5" s="1"/>
  <c r="AL197" i="5"/>
  <c r="AK197" i="5"/>
  <c r="AJ197" i="5"/>
  <c r="AH197" i="5"/>
  <c r="AG197" i="5"/>
  <c r="AF197" i="5"/>
  <c r="AE197" i="5"/>
  <c r="AD197" i="5"/>
  <c r="AC197" i="5"/>
  <c r="AB197" i="5"/>
  <c r="Z197" i="5"/>
  <c r="O197" i="5"/>
  <c r="M197" i="5"/>
  <c r="L197" i="5"/>
  <c r="K197" i="5"/>
  <c r="J197" i="5"/>
  <c r="BW196" i="5"/>
  <c r="BJ196" i="5"/>
  <c r="BF196" i="5"/>
  <c r="BD196" i="5"/>
  <c r="BC196" i="5"/>
  <c r="AW196" i="5"/>
  <c r="AP196" i="5"/>
  <c r="AX196" i="5" s="1"/>
  <c r="AO196" i="5"/>
  <c r="BH196" i="5" s="1"/>
  <c r="AL196" i="5"/>
  <c r="AK196" i="5"/>
  <c r="AJ196" i="5"/>
  <c r="AH196" i="5"/>
  <c r="AG196" i="5"/>
  <c r="AF196" i="5"/>
  <c r="AE196" i="5"/>
  <c r="AD196" i="5"/>
  <c r="AC196" i="5"/>
  <c r="AB196" i="5"/>
  <c r="Z196" i="5"/>
  <c r="O196" i="5"/>
  <c r="M196" i="5"/>
  <c r="L196" i="5"/>
  <c r="K196" i="5"/>
  <c r="J196" i="5"/>
  <c r="BW195" i="5"/>
  <c r="M195" i="5" s="1"/>
  <c r="BJ195" i="5"/>
  <c r="BF195" i="5"/>
  <c r="BD195" i="5"/>
  <c r="AW195" i="5"/>
  <c r="AP195" i="5"/>
  <c r="AO195" i="5"/>
  <c r="BH195" i="5" s="1"/>
  <c r="AL195" i="5"/>
  <c r="AK195" i="5"/>
  <c r="AJ195" i="5"/>
  <c r="AH195" i="5"/>
  <c r="AG195" i="5"/>
  <c r="AF195" i="5"/>
  <c r="AE195" i="5"/>
  <c r="AD195" i="5"/>
  <c r="AC195" i="5"/>
  <c r="AB195" i="5"/>
  <c r="Z195" i="5"/>
  <c r="O195" i="5"/>
  <c r="L195" i="5"/>
  <c r="J195" i="5"/>
  <c r="BW194" i="5"/>
  <c r="BJ194" i="5"/>
  <c r="BF194" i="5"/>
  <c r="BD194" i="5"/>
  <c r="AW194" i="5"/>
  <c r="AP194" i="5"/>
  <c r="AX194" i="5" s="1"/>
  <c r="AO194" i="5"/>
  <c r="BH194" i="5" s="1"/>
  <c r="AB194" i="5" s="1"/>
  <c r="AL194" i="5"/>
  <c r="AK194" i="5"/>
  <c r="AJ194" i="5"/>
  <c r="AH194" i="5"/>
  <c r="AG194" i="5"/>
  <c r="AF194" i="5"/>
  <c r="AE194" i="5"/>
  <c r="AD194" i="5"/>
  <c r="Z194" i="5"/>
  <c r="O194" i="5"/>
  <c r="M194" i="5"/>
  <c r="L194" i="5"/>
  <c r="K194" i="5"/>
  <c r="J194" i="5"/>
  <c r="BW193" i="5"/>
  <c r="BJ193" i="5"/>
  <c r="BI193" i="5"/>
  <c r="BF193" i="5"/>
  <c r="BD193" i="5"/>
  <c r="AW193" i="5"/>
  <c r="AP193" i="5"/>
  <c r="AX193" i="5" s="1"/>
  <c r="AO193" i="5"/>
  <c r="BH193" i="5" s="1"/>
  <c r="AL193" i="5"/>
  <c r="AK193" i="5"/>
  <c r="AJ193" i="5"/>
  <c r="AH193" i="5"/>
  <c r="AG193" i="5"/>
  <c r="AF193" i="5"/>
  <c r="AE193" i="5"/>
  <c r="AD193" i="5"/>
  <c r="AC193" i="5"/>
  <c r="AB193" i="5"/>
  <c r="Z193" i="5"/>
  <c r="O193" i="5"/>
  <c r="M193" i="5"/>
  <c r="L193" i="5"/>
  <c r="K193" i="5"/>
  <c r="J193" i="5"/>
  <c r="BW192" i="5"/>
  <c r="BJ192" i="5"/>
  <c r="BI192" i="5"/>
  <c r="BF192" i="5"/>
  <c r="BD192" i="5"/>
  <c r="AW192" i="5"/>
  <c r="AP192" i="5"/>
  <c r="AX192" i="5" s="1"/>
  <c r="AO192" i="5"/>
  <c r="BH192" i="5" s="1"/>
  <c r="AK192" i="5"/>
  <c r="AJ192" i="5"/>
  <c r="AH192" i="5"/>
  <c r="AG192" i="5"/>
  <c r="AF192" i="5"/>
  <c r="AE192" i="5"/>
  <c r="AD192" i="5"/>
  <c r="AC192" i="5"/>
  <c r="AB192" i="5"/>
  <c r="Z192" i="5"/>
  <c r="O192" i="5"/>
  <c r="L192" i="5"/>
  <c r="K192" i="5"/>
  <c r="J192" i="5"/>
  <c r="BW191" i="5"/>
  <c r="BJ191" i="5"/>
  <c r="Z191" i="5" s="1"/>
  <c r="BF191" i="5"/>
  <c r="BD191" i="5"/>
  <c r="AW191" i="5"/>
  <c r="AP191" i="5"/>
  <c r="AO191" i="5"/>
  <c r="BH191" i="5" s="1"/>
  <c r="AK191" i="5"/>
  <c r="AT184" i="5" s="1"/>
  <c r="AJ191" i="5"/>
  <c r="AH191" i="5"/>
  <c r="AG191" i="5"/>
  <c r="AF191" i="5"/>
  <c r="AE191" i="5"/>
  <c r="AD191" i="5"/>
  <c r="AC191" i="5"/>
  <c r="AB191" i="5"/>
  <c r="O191" i="5"/>
  <c r="L191" i="5"/>
  <c r="K191" i="5"/>
  <c r="J191" i="5"/>
  <c r="BW190" i="5"/>
  <c r="BJ190" i="5"/>
  <c r="BI190" i="5"/>
  <c r="AC190" i="5" s="1"/>
  <c r="BF190" i="5"/>
  <c r="BD190" i="5"/>
  <c r="BC190" i="5"/>
  <c r="AW190" i="5"/>
  <c r="AP190" i="5"/>
  <c r="AX190" i="5" s="1"/>
  <c r="AV190" i="5" s="1"/>
  <c r="AO190" i="5"/>
  <c r="BH190" i="5" s="1"/>
  <c r="AK190" i="5"/>
  <c r="AJ190" i="5"/>
  <c r="AH190" i="5"/>
  <c r="AG190" i="5"/>
  <c r="AF190" i="5"/>
  <c r="AE190" i="5"/>
  <c r="AD190" i="5"/>
  <c r="AB190" i="5"/>
  <c r="Z190" i="5"/>
  <c r="O190" i="5"/>
  <c r="L190" i="5"/>
  <c r="K190" i="5"/>
  <c r="J190" i="5"/>
  <c r="BW189" i="5"/>
  <c r="BJ189" i="5"/>
  <c r="BI189" i="5"/>
  <c r="AC189" i="5" s="1"/>
  <c r="BF189" i="5"/>
  <c r="BD189" i="5"/>
  <c r="BC189" i="5"/>
  <c r="AW189" i="5"/>
  <c r="AV189" i="5"/>
  <c r="AP189" i="5"/>
  <c r="AX189" i="5" s="1"/>
  <c r="AO189" i="5"/>
  <c r="BH189" i="5" s="1"/>
  <c r="AK189" i="5"/>
  <c r="AJ189" i="5"/>
  <c r="AH189" i="5"/>
  <c r="AG189" i="5"/>
  <c r="AF189" i="5"/>
  <c r="AE189" i="5"/>
  <c r="AD189" i="5"/>
  <c r="AB189" i="5"/>
  <c r="Z189" i="5"/>
  <c r="O189" i="5"/>
  <c r="L189" i="5"/>
  <c r="K189" i="5"/>
  <c r="J189" i="5"/>
  <c r="BW188" i="5"/>
  <c r="BJ188" i="5"/>
  <c r="BF188" i="5"/>
  <c r="BD188" i="5"/>
  <c r="AW188" i="5"/>
  <c r="AP188" i="5"/>
  <c r="AO188" i="5"/>
  <c r="BH188" i="5" s="1"/>
  <c r="AK188" i="5"/>
  <c r="AJ188" i="5"/>
  <c r="AH188" i="5"/>
  <c r="AG188" i="5"/>
  <c r="AF188" i="5"/>
  <c r="AE188" i="5"/>
  <c r="AD188" i="5"/>
  <c r="AB188" i="5"/>
  <c r="Z188" i="5"/>
  <c r="O188" i="5"/>
  <c r="L188" i="5"/>
  <c r="J188" i="5"/>
  <c r="BW187" i="5"/>
  <c r="BJ187" i="5"/>
  <c r="BF187" i="5"/>
  <c r="BD187" i="5"/>
  <c r="BC187" i="5"/>
  <c r="AW187" i="5"/>
  <c r="AP187" i="5"/>
  <c r="AX187" i="5" s="1"/>
  <c r="AV187" i="5" s="1"/>
  <c r="AO187" i="5"/>
  <c r="BH187" i="5" s="1"/>
  <c r="AK187" i="5"/>
  <c r="AJ187" i="5"/>
  <c r="AH187" i="5"/>
  <c r="AG187" i="5"/>
  <c r="AF187" i="5"/>
  <c r="AE187" i="5"/>
  <c r="AD187" i="5"/>
  <c r="AB187" i="5"/>
  <c r="Z187" i="5"/>
  <c r="O187" i="5"/>
  <c r="L187" i="5"/>
  <c r="K187" i="5"/>
  <c r="J187" i="5"/>
  <c r="BW186" i="5"/>
  <c r="BJ186" i="5"/>
  <c r="BI186" i="5"/>
  <c r="AC186" i="5" s="1"/>
  <c r="BF186" i="5"/>
  <c r="BD186" i="5"/>
  <c r="BC186" i="5"/>
  <c r="AW186" i="5"/>
  <c r="AP186" i="5"/>
  <c r="AX186" i="5" s="1"/>
  <c r="AV186" i="5" s="1"/>
  <c r="AO186" i="5"/>
  <c r="BH186" i="5" s="1"/>
  <c r="AK186" i="5"/>
  <c r="AJ186" i="5"/>
  <c r="AH186" i="5"/>
  <c r="AG186" i="5"/>
  <c r="AF186" i="5"/>
  <c r="AE186" i="5"/>
  <c r="AD186" i="5"/>
  <c r="AB186" i="5"/>
  <c r="Z186" i="5"/>
  <c r="O186" i="5"/>
  <c r="L186" i="5"/>
  <c r="K186" i="5"/>
  <c r="J186" i="5"/>
  <c r="BW185" i="5"/>
  <c r="BJ185" i="5"/>
  <c r="BI185" i="5"/>
  <c r="AC185" i="5" s="1"/>
  <c r="BF185" i="5"/>
  <c r="BD185" i="5"/>
  <c r="BC185" i="5"/>
  <c r="AW185" i="5"/>
  <c r="AV185" i="5"/>
  <c r="AP185" i="5"/>
  <c r="AX185" i="5" s="1"/>
  <c r="AO185" i="5"/>
  <c r="BH185" i="5" s="1"/>
  <c r="AK185" i="5"/>
  <c r="AJ185" i="5"/>
  <c r="AH185" i="5"/>
  <c r="AG185" i="5"/>
  <c r="AF185" i="5"/>
  <c r="AE185" i="5"/>
  <c r="AD185" i="5"/>
  <c r="AB185" i="5"/>
  <c r="Z185" i="5"/>
  <c r="O185" i="5"/>
  <c r="L185" i="5"/>
  <c r="K185" i="5"/>
  <c r="J185" i="5"/>
  <c r="O184" i="5"/>
  <c r="J184" i="5"/>
  <c r="BW183" i="5"/>
  <c r="BJ183" i="5"/>
  <c r="BI183" i="5"/>
  <c r="AG183" i="5" s="1"/>
  <c r="BF183" i="5"/>
  <c r="BD183" i="5"/>
  <c r="BC183" i="5"/>
  <c r="AW183" i="5"/>
  <c r="AP183" i="5"/>
  <c r="AX183" i="5" s="1"/>
  <c r="AV183" i="5" s="1"/>
  <c r="AO183" i="5"/>
  <c r="BH183" i="5" s="1"/>
  <c r="AK183" i="5"/>
  <c r="AT180" i="5" s="1"/>
  <c r="AJ183" i="5"/>
  <c r="AH183" i="5"/>
  <c r="AF183" i="5"/>
  <c r="AE183" i="5"/>
  <c r="AD183" i="5"/>
  <c r="AC183" i="5"/>
  <c r="AB183" i="5"/>
  <c r="Z183" i="5"/>
  <c r="O183" i="5"/>
  <c r="L183" i="5"/>
  <c r="K183" i="5"/>
  <c r="J183" i="5"/>
  <c r="BW182" i="5"/>
  <c r="BJ182" i="5"/>
  <c r="BI182" i="5"/>
  <c r="AG182" i="5" s="1"/>
  <c r="BF182" i="5"/>
  <c r="BD182" i="5"/>
  <c r="BC182" i="5"/>
  <c r="AW182" i="5"/>
  <c r="AV182" i="5"/>
  <c r="AP182" i="5"/>
  <c r="AX182" i="5" s="1"/>
  <c r="AO182" i="5"/>
  <c r="BH182" i="5" s="1"/>
  <c r="AK182" i="5"/>
  <c r="AJ182" i="5"/>
  <c r="AS180" i="5" s="1"/>
  <c r="AH182" i="5"/>
  <c r="AF182" i="5"/>
  <c r="AE182" i="5"/>
  <c r="AD182" i="5"/>
  <c r="AC182" i="5"/>
  <c r="AB182" i="5"/>
  <c r="Z182" i="5"/>
  <c r="O182" i="5"/>
  <c r="L182" i="5"/>
  <c r="K182" i="5"/>
  <c r="J182" i="5"/>
  <c r="BW181" i="5"/>
  <c r="BJ181" i="5"/>
  <c r="BF181" i="5"/>
  <c r="BD181" i="5"/>
  <c r="AW181" i="5"/>
  <c r="AP181" i="5"/>
  <c r="AO181" i="5"/>
  <c r="BH181" i="5" s="1"/>
  <c r="AK181" i="5"/>
  <c r="AJ181" i="5"/>
  <c r="AH181" i="5"/>
  <c r="AG181" i="5"/>
  <c r="AF181" i="5"/>
  <c r="AE181" i="5"/>
  <c r="AD181" i="5"/>
  <c r="AB181" i="5"/>
  <c r="Z181" i="5"/>
  <c r="O181" i="5"/>
  <c r="L181" i="5"/>
  <c r="J181" i="5"/>
  <c r="O180" i="5"/>
  <c r="J180" i="5"/>
  <c r="BW179" i="5"/>
  <c r="BJ179" i="5"/>
  <c r="BI179" i="5"/>
  <c r="AC179" i="5" s="1"/>
  <c r="BF179" i="5"/>
  <c r="BD179" i="5"/>
  <c r="BC179" i="5"/>
  <c r="AW179" i="5"/>
  <c r="AV179" i="5"/>
  <c r="AP179" i="5"/>
  <c r="AX179" i="5" s="1"/>
  <c r="AO179" i="5"/>
  <c r="BH179" i="5" s="1"/>
  <c r="AK179" i="5"/>
  <c r="AJ179" i="5"/>
  <c r="AS178" i="5" s="1"/>
  <c r="AH179" i="5"/>
  <c r="AG179" i="5"/>
  <c r="AF179" i="5"/>
  <c r="AE179" i="5"/>
  <c r="AD179" i="5"/>
  <c r="AB179" i="5"/>
  <c r="Z179" i="5"/>
  <c r="O179" i="5"/>
  <c r="L179" i="5"/>
  <c r="K179" i="5"/>
  <c r="J179" i="5"/>
  <c r="AT178" i="5"/>
  <c r="O178" i="5"/>
  <c r="L178" i="5"/>
  <c r="K178" i="5"/>
  <c r="J178" i="5"/>
  <c r="O177" i="5"/>
  <c r="J177" i="5"/>
  <c r="BW176" i="5"/>
  <c r="BD176" i="5"/>
  <c r="AP176" i="5"/>
  <c r="AO176" i="5"/>
  <c r="AK176" i="5"/>
  <c r="AT170" i="5" s="1"/>
  <c r="AJ176" i="5"/>
  <c r="AH176" i="5"/>
  <c r="AE176" i="5"/>
  <c r="AD176" i="5"/>
  <c r="AC176" i="5"/>
  <c r="AB176" i="5"/>
  <c r="Z176" i="5"/>
  <c r="BW175" i="5"/>
  <c r="BD175" i="5"/>
  <c r="AP175" i="5"/>
  <c r="AO175" i="5"/>
  <c r="AK175" i="5"/>
  <c r="AJ175" i="5"/>
  <c r="AH175" i="5"/>
  <c r="AE175" i="5"/>
  <c r="AD175" i="5"/>
  <c r="AC175" i="5"/>
  <c r="AB175" i="5"/>
  <c r="Z175" i="5"/>
  <c r="BW174" i="5"/>
  <c r="BJ174" i="5"/>
  <c r="BI174" i="5"/>
  <c r="AG174" i="5" s="1"/>
  <c r="BD174" i="5"/>
  <c r="AX174" i="5"/>
  <c r="BC174" i="5" s="1"/>
  <c r="AP174" i="5"/>
  <c r="AO174" i="5"/>
  <c r="AW174" i="5" s="1"/>
  <c r="AK174" i="5"/>
  <c r="AJ174" i="5"/>
  <c r="AH174" i="5"/>
  <c r="AE174" i="5"/>
  <c r="AD174" i="5"/>
  <c r="AC174" i="5"/>
  <c r="AB174" i="5"/>
  <c r="Z174" i="5"/>
  <c r="O174" i="5"/>
  <c r="BF174" i="5" s="1"/>
  <c r="L174" i="5"/>
  <c r="AL174" i="5" s="1"/>
  <c r="K174" i="5"/>
  <c r="J174" i="5"/>
  <c r="BW173" i="5"/>
  <c r="BJ173" i="5"/>
  <c r="BD173" i="5"/>
  <c r="AP173" i="5"/>
  <c r="BI173" i="5" s="1"/>
  <c r="AG173" i="5" s="1"/>
  <c r="AO173" i="5"/>
  <c r="AW173" i="5" s="1"/>
  <c r="AK173" i="5"/>
  <c r="AJ173" i="5"/>
  <c r="AH173" i="5"/>
  <c r="AE173" i="5"/>
  <c r="AD173" i="5"/>
  <c r="AC173" i="5"/>
  <c r="AB173" i="5"/>
  <c r="Z173" i="5"/>
  <c r="O173" i="5"/>
  <c r="L173" i="5"/>
  <c r="AL173" i="5" s="1"/>
  <c r="K173" i="5"/>
  <c r="J173" i="5"/>
  <c r="BW172" i="5"/>
  <c r="BJ172" i="5"/>
  <c r="BD172" i="5"/>
  <c r="AP172" i="5"/>
  <c r="BI172" i="5" s="1"/>
  <c r="AG172" i="5" s="1"/>
  <c r="AO172" i="5"/>
  <c r="AK172" i="5"/>
  <c r="AJ172" i="5"/>
  <c r="AH172" i="5"/>
  <c r="AE172" i="5"/>
  <c r="AD172" i="5"/>
  <c r="AC172" i="5"/>
  <c r="AB172" i="5"/>
  <c r="Z172" i="5"/>
  <c r="O172" i="5"/>
  <c r="BF172" i="5" s="1"/>
  <c r="L172" i="5"/>
  <c r="AL172" i="5" s="1"/>
  <c r="K172" i="5"/>
  <c r="J172" i="5"/>
  <c r="BW171" i="5"/>
  <c r="BJ171" i="5"/>
  <c r="BH171" i="5"/>
  <c r="AF171" i="5" s="1"/>
  <c r="BD171" i="5"/>
  <c r="AP171" i="5"/>
  <c r="AO171" i="5"/>
  <c r="AW171" i="5" s="1"/>
  <c r="AK171" i="5"/>
  <c r="AJ171" i="5"/>
  <c r="AS170" i="5" s="1"/>
  <c r="AH171" i="5"/>
  <c r="AE171" i="5"/>
  <c r="AD171" i="5"/>
  <c r="AC171" i="5"/>
  <c r="AB171" i="5"/>
  <c r="Z171" i="5"/>
  <c r="O171" i="5"/>
  <c r="BF171" i="5" s="1"/>
  <c r="L171" i="5"/>
  <c r="AL171" i="5" s="1"/>
  <c r="K171" i="5"/>
  <c r="J171" i="5"/>
  <c r="BW168" i="5"/>
  <c r="BJ168" i="5"/>
  <c r="BF168" i="5"/>
  <c r="BD168" i="5"/>
  <c r="AW168" i="5"/>
  <c r="AP168" i="5"/>
  <c r="AO168" i="5"/>
  <c r="BH168" i="5" s="1"/>
  <c r="AK168" i="5"/>
  <c r="AJ168" i="5"/>
  <c r="AH168" i="5"/>
  <c r="AG168" i="5"/>
  <c r="AF168" i="5"/>
  <c r="AE168" i="5"/>
  <c r="AD168" i="5"/>
  <c r="AC168" i="5"/>
  <c r="AB168" i="5"/>
  <c r="Z168" i="5"/>
  <c r="O168" i="5"/>
  <c r="L168" i="5"/>
  <c r="J168" i="5"/>
  <c r="BW167" i="5"/>
  <c r="BJ167" i="5"/>
  <c r="BF167" i="5"/>
  <c r="BD167" i="5"/>
  <c r="AW167" i="5"/>
  <c r="AP167" i="5"/>
  <c r="AO167" i="5"/>
  <c r="BH167" i="5" s="1"/>
  <c r="AK167" i="5"/>
  <c r="AJ167" i="5"/>
  <c r="AH167" i="5"/>
  <c r="AG167" i="5"/>
  <c r="AF167" i="5"/>
  <c r="AE167" i="5"/>
  <c r="AD167" i="5"/>
  <c r="AC167" i="5"/>
  <c r="AB167" i="5"/>
  <c r="Z167" i="5"/>
  <c r="O167" i="5"/>
  <c r="L167" i="5"/>
  <c r="J167" i="5"/>
  <c r="BW166" i="5"/>
  <c r="BJ166" i="5"/>
  <c r="BF166" i="5"/>
  <c r="BD166" i="5"/>
  <c r="AW166" i="5"/>
  <c r="AP166" i="5"/>
  <c r="AO166" i="5"/>
  <c r="BH166" i="5" s="1"/>
  <c r="AK166" i="5"/>
  <c r="AJ166" i="5"/>
  <c r="AS165" i="5" s="1"/>
  <c r="AH166" i="5"/>
  <c r="AG166" i="5"/>
  <c r="AF166" i="5"/>
  <c r="AE166" i="5"/>
  <c r="AD166" i="5"/>
  <c r="AC166" i="5"/>
  <c r="AB166" i="5"/>
  <c r="Z166" i="5"/>
  <c r="O166" i="5"/>
  <c r="L166" i="5"/>
  <c r="J166" i="5"/>
  <c r="AT165" i="5"/>
  <c r="O165" i="5"/>
  <c r="L165" i="5"/>
  <c r="J165" i="5"/>
  <c r="BW164" i="5"/>
  <c r="BJ164" i="5"/>
  <c r="BI164" i="5"/>
  <c r="AG164" i="5" s="1"/>
  <c r="BF164" i="5"/>
  <c r="BD164" i="5"/>
  <c r="BC164" i="5"/>
  <c r="AW164" i="5"/>
  <c r="AP164" i="5"/>
  <c r="AX164" i="5" s="1"/>
  <c r="AV164" i="5" s="1"/>
  <c r="AO164" i="5"/>
  <c r="BH164" i="5" s="1"/>
  <c r="AK164" i="5"/>
  <c r="AJ164" i="5"/>
  <c r="AH164" i="5"/>
  <c r="AF164" i="5"/>
  <c r="AE164" i="5"/>
  <c r="AD164" i="5"/>
  <c r="AC164" i="5"/>
  <c r="AB164" i="5"/>
  <c r="Z164" i="5"/>
  <c r="O164" i="5"/>
  <c r="L164" i="5"/>
  <c r="K164" i="5"/>
  <c r="J164" i="5"/>
  <c r="BW163" i="5"/>
  <c r="BJ163" i="5"/>
  <c r="BI163" i="5"/>
  <c r="AG163" i="5" s="1"/>
  <c r="BF163" i="5"/>
  <c r="BD163" i="5"/>
  <c r="BC163" i="5"/>
  <c r="AW163" i="5"/>
  <c r="AV163" i="5"/>
  <c r="AP163" i="5"/>
  <c r="AX163" i="5" s="1"/>
  <c r="AO163" i="5"/>
  <c r="BH163" i="5" s="1"/>
  <c r="AK163" i="5"/>
  <c r="AJ163" i="5"/>
  <c r="AS162" i="5" s="1"/>
  <c r="AH163" i="5"/>
  <c r="AF163" i="5"/>
  <c r="AE163" i="5"/>
  <c r="AD163" i="5"/>
  <c r="AC163" i="5"/>
  <c r="AB163" i="5"/>
  <c r="Z163" i="5"/>
  <c r="O163" i="5"/>
  <c r="L163" i="5"/>
  <c r="K163" i="5"/>
  <c r="J163" i="5"/>
  <c r="AT162" i="5"/>
  <c r="O162" i="5"/>
  <c r="L162" i="5"/>
  <c r="K162" i="5"/>
  <c r="J162" i="5"/>
  <c r="BW161" i="5"/>
  <c r="BJ161" i="5"/>
  <c r="BI161" i="5"/>
  <c r="AC161" i="5" s="1"/>
  <c r="BF161" i="5"/>
  <c r="BD161" i="5"/>
  <c r="BC161" i="5"/>
  <c r="AW161" i="5"/>
  <c r="AP161" i="5"/>
  <c r="AX161" i="5" s="1"/>
  <c r="AV161" i="5" s="1"/>
  <c r="AO161" i="5"/>
  <c r="BH161" i="5" s="1"/>
  <c r="AK161" i="5"/>
  <c r="AT158" i="5" s="1"/>
  <c r="AJ161" i="5"/>
  <c r="AH161" i="5"/>
  <c r="AG161" i="5"/>
  <c r="AF161" i="5"/>
  <c r="AE161" i="5"/>
  <c r="AD161" i="5"/>
  <c r="AB161" i="5"/>
  <c r="Z161" i="5"/>
  <c r="O161" i="5"/>
  <c r="L161" i="5"/>
  <c r="K161" i="5"/>
  <c r="J161" i="5"/>
  <c r="BW160" i="5"/>
  <c r="BJ160" i="5"/>
  <c r="BI160" i="5"/>
  <c r="AC160" i="5" s="1"/>
  <c r="BF160" i="5"/>
  <c r="BD160" i="5"/>
  <c r="BC160" i="5"/>
  <c r="AW160" i="5"/>
  <c r="AV160" i="5"/>
  <c r="AP160" i="5"/>
  <c r="AX160" i="5" s="1"/>
  <c r="AO160" i="5"/>
  <c r="BH160" i="5" s="1"/>
  <c r="AK160" i="5"/>
  <c r="AJ160" i="5"/>
  <c r="AS158" i="5" s="1"/>
  <c r="AH160" i="5"/>
  <c r="AG160" i="5"/>
  <c r="AF160" i="5"/>
  <c r="AE160" i="5"/>
  <c r="AD160" i="5"/>
  <c r="AB160" i="5"/>
  <c r="Z160" i="5"/>
  <c r="O160" i="5"/>
  <c r="L160" i="5"/>
  <c r="K160" i="5"/>
  <c r="J160" i="5"/>
  <c r="BW159" i="5"/>
  <c r="BJ159" i="5"/>
  <c r="BF159" i="5"/>
  <c r="BD159" i="5"/>
  <c r="AW159" i="5"/>
  <c r="AP159" i="5"/>
  <c r="AO159" i="5"/>
  <c r="BH159" i="5" s="1"/>
  <c r="AK159" i="5"/>
  <c r="AJ159" i="5"/>
  <c r="AH159" i="5"/>
  <c r="AG159" i="5"/>
  <c r="AF159" i="5"/>
  <c r="AE159" i="5"/>
  <c r="AD159" i="5"/>
  <c r="AB159" i="5"/>
  <c r="Z159" i="5"/>
  <c r="O159" i="5"/>
  <c r="L159" i="5"/>
  <c r="J159" i="5"/>
  <c r="O158" i="5"/>
  <c r="J158" i="5"/>
  <c r="BW157" i="5"/>
  <c r="BJ157" i="5"/>
  <c r="BI157" i="5"/>
  <c r="BF157" i="5"/>
  <c r="BD157" i="5"/>
  <c r="BC157" i="5"/>
  <c r="AW157" i="5"/>
  <c r="AV157" i="5"/>
  <c r="AP157" i="5"/>
  <c r="AX157" i="5" s="1"/>
  <c r="AO157" i="5"/>
  <c r="BH157" i="5" s="1"/>
  <c r="AD157" i="5" s="1"/>
  <c r="AK157" i="5"/>
  <c r="AJ157" i="5"/>
  <c r="AS156" i="5" s="1"/>
  <c r="AH157" i="5"/>
  <c r="AG157" i="5"/>
  <c r="AF157" i="5"/>
  <c r="AE157" i="5"/>
  <c r="AC157" i="5"/>
  <c r="AB157" i="5"/>
  <c r="Z157" i="5"/>
  <c r="O157" i="5"/>
  <c r="L157" i="5"/>
  <c r="K157" i="5"/>
  <c r="J157" i="5"/>
  <c r="AT156" i="5"/>
  <c r="O156" i="5"/>
  <c r="L156" i="5"/>
  <c r="K156" i="5"/>
  <c r="J156" i="5"/>
  <c r="BW155" i="5"/>
  <c r="BJ155" i="5"/>
  <c r="BI155" i="5"/>
  <c r="AC155" i="5" s="1"/>
  <c r="BF155" i="5"/>
  <c r="BD155" i="5"/>
  <c r="BC155" i="5"/>
  <c r="AW155" i="5"/>
  <c r="AP155" i="5"/>
  <c r="AX155" i="5" s="1"/>
  <c r="AV155" i="5" s="1"/>
  <c r="AO155" i="5"/>
  <c r="BH155" i="5" s="1"/>
  <c r="AB155" i="5" s="1"/>
  <c r="AL155" i="5"/>
  <c r="AK155" i="5"/>
  <c r="AJ155" i="5"/>
  <c r="AH155" i="5"/>
  <c r="AG155" i="5"/>
  <c r="AF155" i="5"/>
  <c r="AE155" i="5"/>
  <c r="AD155" i="5"/>
  <c r="Z155" i="5"/>
  <c r="O155" i="5"/>
  <c r="M155" i="5"/>
  <c r="L155" i="5"/>
  <c r="K155" i="5"/>
  <c r="J155" i="5"/>
  <c r="BW154" i="5"/>
  <c r="BJ154" i="5"/>
  <c r="BF154" i="5"/>
  <c r="BD154" i="5"/>
  <c r="AW154" i="5"/>
  <c r="AP154" i="5"/>
  <c r="AO154" i="5"/>
  <c r="BH154" i="5" s="1"/>
  <c r="AK154" i="5"/>
  <c r="AT152" i="5" s="1"/>
  <c r="AJ154" i="5"/>
  <c r="AS152" i="5" s="1"/>
  <c r="AH154" i="5"/>
  <c r="AG154" i="5"/>
  <c r="AF154" i="5"/>
  <c r="AE154" i="5"/>
  <c r="AD154" i="5"/>
  <c r="AB154" i="5"/>
  <c r="Z154" i="5"/>
  <c r="O154" i="5"/>
  <c r="L154" i="5"/>
  <c r="L152" i="5" s="1"/>
  <c r="K154" i="5"/>
  <c r="K152" i="5" s="1"/>
  <c r="J154" i="5"/>
  <c r="BW153" i="5"/>
  <c r="BJ153" i="5"/>
  <c r="BI153" i="5"/>
  <c r="BF153" i="5"/>
  <c r="BD153" i="5"/>
  <c r="AW153" i="5"/>
  <c r="AP153" i="5"/>
  <c r="AX153" i="5" s="1"/>
  <c r="AO153" i="5"/>
  <c r="BH153" i="5" s="1"/>
  <c r="AB153" i="5" s="1"/>
  <c r="AL153" i="5"/>
  <c r="AK153" i="5"/>
  <c r="AJ153" i="5"/>
  <c r="AH153" i="5"/>
  <c r="AG153" i="5"/>
  <c r="AF153" i="5"/>
  <c r="AE153" i="5"/>
  <c r="AD153" i="5"/>
  <c r="AC153" i="5"/>
  <c r="Z153" i="5"/>
  <c r="O153" i="5"/>
  <c r="M153" i="5"/>
  <c r="L153" i="5"/>
  <c r="K153" i="5"/>
  <c r="J153" i="5"/>
  <c r="O152" i="5"/>
  <c r="J152" i="5"/>
  <c r="BW151" i="5"/>
  <c r="BJ151" i="5"/>
  <c r="BF151" i="5"/>
  <c r="BD151" i="5"/>
  <c r="AW151" i="5"/>
  <c r="AP151" i="5"/>
  <c r="AO151" i="5"/>
  <c r="BH151" i="5" s="1"/>
  <c r="AK151" i="5"/>
  <c r="AT149" i="5" s="1"/>
  <c r="AJ151" i="5"/>
  <c r="AS149" i="5" s="1"/>
  <c r="AH151" i="5"/>
  <c r="AG151" i="5"/>
  <c r="AF151" i="5"/>
  <c r="AE151" i="5"/>
  <c r="AD151" i="5"/>
  <c r="AB151" i="5"/>
  <c r="Z151" i="5"/>
  <c r="O151" i="5"/>
  <c r="L151" i="5"/>
  <c r="L149" i="5" s="1"/>
  <c r="J151" i="5"/>
  <c r="BW150" i="5"/>
  <c r="BJ150" i="5"/>
  <c r="BI150" i="5"/>
  <c r="BF150" i="5"/>
  <c r="BD150" i="5"/>
  <c r="AW150" i="5"/>
  <c r="AP150" i="5"/>
  <c r="AX150" i="5" s="1"/>
  <c r="AO150" i="5"/>
  <c r="BH150" i="5" s="1"/>
  <c r="AB150" i="5" s="1"/>
  <c r="AL150" i="5"/>
  <c r="AK150" i="5"/>
  <c r="AJ150" i="5"/>
  <c r="AH150" i="5"/>
  <c r="AG150" i="5"/>
  <c r="AF150" i="5"/>
  <c r="AE150" i="5"/>
  <c r="AD150" i="5"/>
  <c r="AC150" i="5"/>
  <c r="Z150" i="5"/>
  <c r="O150" i="5"/>
  <c r="M150" i="5"/>
  <c r="L150" i="5"/>
  <c r="K150" i="5"/>
  <c r="J150" i="5"/>
  <c r="O149" i="5"/>
  <c r="J149" i="5"/>
  <c r="BW148" i="5"/>
  <c r="BJ148" i="5"/>
  <c r="BF148" i="5"/>
  <c r="BD148" i="5"/>
  <c r="AW148" i="5"/>
  <c r="AP148" i="5"/>
  <c r="AO148" i="5"/>
  <c r="BH148" i="5" s="1"/>
  <c r="AK148" i="5"/>
  <c r="AJ148" i="5"/>
  <c r="AH148" i="5"/>
  <c r="AG148" i="5"/>
  <c r="AF148" i="5"/>
  <c r="AE148" i="5"/>
  <c r="AD148" i="5"/>
  <c r="AB148" i="5"/>
  <c r="Z148" i="5"/>
  <c r="O148" i="5"/>
  <c r="L148" i="5"/>
  <c r="AL148" i="5" s="1"/>
  <c r="K148" i="5"/>
  <c r="J148" i="5"/>
  <c r="BW147" i="5"/>
  <c r="BJ147" i="5"/>
  <c r="BI147" i="5"/>
  <c r="AC147" i="5" s="1"/>
  <c r="BF147" i="5"/>
  <c r="BD147" i="5"/>
  <c r="AW147" i="5"/>
  <c r="AP147" i="5"/>
  <c r="AX147" i="5" s="1"/>
  <c r="AO147" i="5"/>
  <c r="BH147" i="5" s="1"/>
  <c r="AB147" i="5" s="1"/>
  <c r="AL147" i="5"/>
  <c r="AK147" i="5"/>
  <c r="AJ147" i="5"/>
  <c r="AH147" i="5"/>
  <c r="AG147" i="5"/>
  <c r="AF147" i="5"/>
  <c r="AE147" i="5"/>
  <c r="AD147" i="5"/>
  <c r="Z147" i="5"/>
  <c r="O147" i="5"/>
  <c r="M147" i="5"/>
  <c r="L147" i="5"/>
  <c r="K147" i="5"/>
  <c r="J147" i="5"/>
  <c r="BW146" i="5"/>
  <c r="BJ146" i="5"/>
  <c r="BF146" i="5"/>
  <c r="BD146" i="5"/>
  <c r="AW146" i="5"/>
  <c r="AP146" i="5"/>
  <c r="AO146" i="5"/>
  <c r="BH146" i="5" s="1"/>
  <c r="AK146" i="5"/>
  <c r="AJ146" i="5"/>
  <c r="AH146" i="5"/>
  <c r="AG146" i="5"/>
  <c r="AF146" i="5"/>
  <c r="AE146" i="5"/>
  <c r="AD146" i="5"/>
  <c r="AB146" i="5"/>
  <c r="Z146" i="5"/>
  <c r="O146" i="5"/>
  <c r="L146" i="5"/>
  <c r="AL146" i="5" s="1"/>
  <c r="K146" i="5"/>
  <c r="J146" i="5"/>
  <c r="BW145" i="5"/>
  <c r="BJ145" i="5"/>
  <c r="BI145" i="5"/>
  <c r="AC145" i="5" s="1"/>
  <c r="BF145" i="5"/>
  <c r="BD145" i="5"/>
  <c r="AW145" i="5"/>
  <c r="AP145" i="5"/>
  <c r="AX145" i="5" s="1"/>
  <c r="AO145" i="5"/>
  <c r="BH145" i="5" s="1"/>
  <c r="AB145" i="5" s="1"/>
  <c r="AL145" i="5"/>
  <c r="AK145" i="5"/>
  <c r="AJ145" i="5"/>
  <c r="AH145" i="5"/>
  <c r="AG145" i="5"/>
  <c r="AF145" i="5"/>
  <c r="AE145" i="5"/>
  <c r="AD145" i="5"/>
  <c r="Z145" i="5"/>
  <c r="O145" i="5"/>
  <c r="M145" i="5"/>
  <c r="L145" i="5"/>
  <c r="K145" i="5"/>
  <c r="J145" i="5"/>
  <c r="BW144" i="5"/>
  <c r="BJ144" i="5"/>
  <c r="BF144" i="5"/>
  <c r="BD144" i="5"/>
  <c r="AW144" i="5"/>
  <c r="AP144" i="5"/>
  <c r="AO144" i="5"/>
  <c r="BH144" i="5" s="1"/>
  <c r="AK144" i="5"/>
  <c r="AT142" i="5" s="1"/>
  <c r="AJ144" i="5"/>
  <c r="AS142" i="5" s="1"/>
  <c r="AH144" i="5"/>
  <c r="AG144" i="5"/>
  <c r="AF144" i="5"/>
  <c r="AE144" i="5"/>
  <c r="AD144" i="5"/>
  <c r="AB144" i="5"/>
  <c r="Z144" i="5"/>
  <c r="O144" i="5"/>
  <c r="L144" i="5"/>
  <c r="L142" i="5" s="1"/>
  <c r="K144" i="5"/>
  <c r="J144" i="5"/>
  <c r="BW143" i="5"/>
  <c r="BJ143" i="5"/>
  <c r="BI143" i="5"/>
  <c r="BF143" i="5"/>
  <c r="BD143" i="5"/>
  <c r="AW143" i="5"/>
  <c r="AP143" i="5"/>
  <c r="AX143" i="5" s="1"/>
  <c r="AO143" i="5"/>
  <c r="BH143" i="5" s="1"/>
  <c r="AB143" i="5" s="1"/>
  <c r="AL143" i="5"/>
  <c r="AK143" i="5"/>
  <c r="AJ143" i="5"/>
  <c r="AH143" i="5"/>
  <c r="AG143" i="5"/>
  <c r="AF143" i="5"/>
  <c r="AE143" i="5"/>
  <c r="AD143" i="5"/>
  <c r="AC143" i="5"/>
  <c r="Z143" i="5"/>
  <c r="O143" i="5"/>
  <c r="M143" i="5"/>
  <c r="L143" i="5"/>
  <c r="K143" i="5"/>
  <c r="J143" i="5"/>
  <c r="O142" i="5"/>
  <c r="J142" i="5"/>
  <c r="BW141" i="5"/>
  <c r="BJ141" i="5"/>
  <c r="BF141" i="5"/>
  <c r="BD141" i="5"/>
  <c r="AW141" i="5"/>
  <c r="AP141" i="5"/>
  <c r="AO141" i="5"/>
  <c r="BH141" i="5" s="1"/>
  <c r="AK141" i="5"/>
  <c r="AJ141" i="5"/>
  <c r="AH141" i="5"/>
  <c r="AG141" i="5"/>
  <c r="AF141" i="5"/>
  <c r="AE141" i="5"/>
  <c r="AD141" i="5"/>
  <c r="AB141" i="5"/>
  <c r="Z141" i="5"/>
  <c r="O141" i="5"/>
  <c r="L141" i="5"/>
  <c r="AL141" i="5" s="1"/>
  <c r="AU140" i="5" s="1"/>
  <c r="J141" i="5"/>
  <c r="AT140" i="5"/>
  <c r="AS140" i="5"/>
  <c r="O140" i="5"/>
  <c r="J140" i="5"/>
  <c r="BW139" i="5"/>
  <c r="BJ139" i="5"/>
  <c r="BI139" i="5"/>
  <c r="BF139" i="5"/>
  <c r="BD139" i="5"/>
  <c r="AW139" i="5"/>
  <c r="AP139" i="5"/>
  <c r="AX139" i="5" s="1"/>
  <c r="AO139" i="5"/>
  <c r="BH139" i="5" s="1"/>
  <c r="AB139" i="5" s="1"/>
  <c r="AL139" i="5"/>
  <c r="AK139" i="5"/>
  <c r="AJ139" i="5"/>
  <c r="AH139" i="5"/>
  <c r="AG139" i="5"/>
  <c r="AF139" i="5"/>
  <c r="AE139" i="5"/>
  <c r="AD139" i="5"/>
  <c r="AC139" i="5"/>
  <c r="Z139" i="5"/>
  <c r="O139" i="5"/>
  <c r="M139" i="5"/>
  <c r="L139" i="5"/>
  <c r="K139" i="5"/>
  <c r="J139" i="5"/>
  <c r="BW138" i="5"/>
  <c r="BJ138" i="5"/>
  <c r="BF138" i="5"/>
  <c r="BD138" i="5"/>
  <c r="AW138" i="5"/>
  <c r="AP138" i="5"/>
  <c r="AO138" i="5"/>
  <c r="BH138" i="5" s="1"/>
  <c r="AK138" i="5"/>
  <c r="AJ138" i="5"/>
  <c r="AS135" i="5" s="1"/>
  <c r="AH138" i="5"/>
  <c r="AG138" i="5"/>
  <c r="AF138" i="5"/>
  <c r="AE138" i="5"/>
  <c r="AD138" i="5"/>
  <c r="AB138" i="5"/>
  <c r="Z138" i="5"/>
  <c r="O138" i="5"/>
  <c r="L138" i="5"/>
  <c r="AL138" i="5" s="1"/>
  <c r="J138" i="5"/>
  <c r="BW137" i="5"/>
  <c r="BJ137" i="5"/>
  <c r="BI137" i="5"/>
  <c r="BF137" i="5"/>
  <c r="BD137" i="5"/>
  <c r="AW137" i="5"/>
  <c r="AP137" i="5"/>
  <c r="AX137" i="5" s="1"/>
  <c r="AO137" i="5"/>
  <c r="BH137" i="5" s="1"/>
  <c r="AB137" i="5" s="1"/>
  <c r="AL137" i="5"/>
  <c r="AK137" i="5"/>
  <c r="AJ137" i="5"/>
  <c r="AH137" i="5"/>
  <c r="AG137" i="5"/>
  <c r="AF137" i="5"/>
  <c r="AE137" i="5"/>
  <c r="AD137" i="5"/>
  <c r="AC137" i="5"/>
  <c r="Z137" i="5"/>
  <c r="O137" i="5"/>
  <c r="M137" i="5"/>
  <c r="L137" i="5"/>
  <c r="J137" i="5"/>
  <c r="BW136" i="5"/>
  <c r="BJ136" i="5"/>
  <c r="BF136" i="5"/>
  <c r="BD136" i="5"/>
  <c r="AW136" i="5"/>
  <c r="AP136" i="5"/>
  <c r="AO136" i="5"/>
  <c r="BH136" i="5" s="1"/>
  <c r="AK136" i="5"/>
  <c r="AJ136" i="5"/>
  <c r="AH136" i="5"/>
  <c r="AG136" i="5"/>
  <c r="AF136" i="5"/>
  <c r="AE136" i="5"/>
  <c r="AD136" i="5"/>
  <c r="AB136" i="5"/>
  <c r="Z136" i="5"/>
  <c r="O136" i="5"/>
  <c r="L136" i="5"/>
  <c r="AL136" i="5" s="1"/>
  <c r="K136" i="5"/>
  <c r="J136" i="5"/>
  <c r="AT135" i="5"/>
  <c r="O135" i="5"/>
  <c r="L135" i="5"/>
  <c r="J135" i="5"/>
  <c r="O134" i="5"/>
  <c r="J134" i="5"/>
  <c r="BW133" i="5"/>
  <c r="BJ133" i="5"/>
  <c r="Z133" i="5" s="1"/>
  <c r="BH133" i="5"/>
  <c r="BD133" i="5"/>
  <c r="AX133" i="5"/>
  <c r="AW133" i="5"/>
  <c r="AP133" i="5"/>
  <c r="BI133" i="5" s="1"/>
  <c r="AO133" i="5"/>
  <c r="J133" i="5" s="1"/>
  <c r="AL133" i="5"/>
  <c r="AK133" i="5"/>
  <c r="AJ133" i="5"/>
  <c r="AH133" i="5"/>
  <c r="AG133" i="5"/>
  <c r="AF133" i="5"/>
  <c r="AE133" i="5"/>
  <c r="AD133" i="5"/>
  <c r="AC133" i="5"/>
  <c r="AB133" i="5"/>
  <c r="O133" i="5"/>
  <c r="BF133" i="5" s="1"/>
  <c r="L133" i="5"/>
  <c r="K133" i="5"/>
  <c r="BW132" i="5"/>
  <c r="BJ132" i="5"/>
  <c r="Z132" i="5" s="1"/>
  <c r="BD132" i="5"/>
  <c r="AX132" i="5"/>
  <c r="AP132" i="5"/>
  <c r="BI132" i="5" s="1"/>
  <c r="AO132" i="5"/>
  <c r="AK132" i="5"/>
  <c r="AJ132" i="5"/>
  <c r="AH132" i="5"/>
  <c r="AG132" i="5"/>
  <c r="AF132" i="5"/>
  <c r="AE132" i="5"/>
  <c r="AD132" i="5"/>
  <c r="AC132" i="5"/>
  <c r="AB132" i="5"/>
  <c r="O132" i="5"/>
  <c r="BF132" i="5" s="1"/>
  <c r="M132" i="5"/>
  <c r="L132" i="5"/>
  <c r="AL132" i="5" s="1"/>
  <c r="K132" i="5"/>
  <c r="BW131" i="5"/>
  <c r="BJ131" i="5"/>
  <c r="Z131" i="5" s="1"/>
  <c r="BH131" i="5"/>
  <c r="BD131" i="5"/>
  <c r="AX131" i="5"/>
  <c r="AW131" i="5"/>
  <c r="BC131" i="5" s="1"/>
  <c r="AV131" i="5"/>
  <c r="AP131" i="5"/>
  <c r="BI131" i="5" s="1"/>
  <c r="AO131" i="5"/>
  <c r="AK131" i="5"/>
  <c r="AT130" i="5" s="1"/>
  <c r="AJ131" i="5"/>
  <c r="AH131" i="5"/>
  <c r="AG131" i="5"/>
  <c r="AF131" i="5"/>
  <c r="AE131" i="5"/>
  <c r="AD131" i="5"/>
  <c r="AC131" i="5"/>
  <c r="AB131" i="5"/>
  <c r="O131" i="5"/>
  <c r="BF131" i="5" s="1"/>
  <c r="L131" i="5"/>
  <c r="K131" i="5"/>
  <c r="J131" i="5"/>
  <c r="AS130" i="5"/>
  <c r="K130" i="5"/>
  <c r="BW129" i="5"/>
  <c r="BJ129" i="5"/>
  <c r="BH129" i="5"/>
  <c r="BF129" i="5"/>
  <c r="BD129" i="5"/>
  <c r="AX129" i="5"/>
  <c r="AW129" i="5"/>
  <c r="BC129" i="5" s="1"/>
  <c r="AV129" i="5"/>
  <c r="AP129" i="5"/>
  <c r="BI129" i="5" s="1"/>
  <c r="AO129" i="5"/>
  <c r="AK129" i="5"/>
  <c r="AJ129" i="5"/>
  <c r="AH129" i="5"/>
  <c r="AG129" i="5"/>
  <c r="AF129" i="5"/>
  <c r="AE129" i="5"/>
  <c r="AD129" i="5"/>
  <c r="AC129" i="5"/>
  <c r="AB129" i="5"/>
  <c r="Z129" i="5"/>
  <c r="O129" i="5"/>
  <c r="L129" i="5"/>
  <c r="K129" i="5"/>
  <c r="J129" i="5"/>
  <c r="AT128" i="5"/>
  <c r="AS128" i="5"/>
  <c r="O128" i="5"/>
  <c r="L128" i="5"/>
  <c r="K128" i="5"/>
  <c r="J128" i="5"/>
  <c r="BW127" i="5"/>
  <c r="BJ127" i="5"/>
  <c r="BD127" i="5"/>
  <c r="AX127" i="5"/>
  <c r="AP127" i="5"/>
  <c r="BI127" i="5" s="1"/>
  <c r="AC127" i="5" s="1"/>
  <c r="AO127" i="5"/>
  <c r="AK127" i="5"/>
  <c r="AJ127" i="5"/>
  <c r="AH127" i="5"/>
  <c r="AG127" i="5"/>
  <c r="AF127" i="5"/>
  <c r="AE127" i="5"/>
  <c r="AD127" i="5"/>
  <c r="Z127" i="5"/>
  <c r="O127" i="5"/>
  <c r="L127" i="5"/>
  <c r="AL127" i="5" s="1"/>
  <c r="K127" i="5"/>
  <c r="J127" i="5"/>
  <c r="J125" i="5" s="1"/>
  <c r="BW126" i="5"/>
  <c r="BJ126" i="5"/>
  <c r="BH126" i="5"/>
  <c r="BF126" i="5"/>
  <c r="BD126" i="5"/>
  <c r="AX126" i="5"/>
  <c r="AW126" i="5"/>
  <c r="BC126" i="5" s="1"/>
  <c r="AV126" i="5"/>
  <c r="AP126" i="5"/>
  <c r="BI126" i="5" s="1"/>
  <c r="AO126" i="5"/>
  <c r="AK126" i="5"/>
  <c r="AJ126" i="5"/>
  <c r="AH126" i="5"/>
  <c r="AG126" i="5"/>
  <c r="AF126" i="5"/>
  <c r="AE126" i="5"/>
  <c r="AD126" i="5"/>
  <c r="AC126" i="5"/>
  <c r="AB126" i="5"/>
  <c r="Z126" i="5"/>
  <c r="O126" i="5"/>
  <c r="L126" i="5"/>
  <c r="K126" i="5"/>
  <c r="J126" i="5"/>
  <c r="AT125" i="5"/>
  <c r="AS125" i="5"/>
  <c r="L125" i="5"/>
  <c r="K125" i="5"/>
  <c r="BW124" i="5"/>
  <c r="BJ124" i="5"/>
  <c r="BD124" i="5"/>
  <c r="AX124" i="5"/>
  <c r="AP124" i="5"/>
  <c r="BI124" i="5" s="1"/>
  <c r="AC124" i="5" s="1"/>
  <c r="AO124" i="5"/>
  <c r="AK124" i="5"/>
  <c r="AJ124" i="5"/>
  <c r="AH124" i="5"/>
  <c r="AG124" i="5"/>
  <c r="AF124" i="5"/>
  <c r="AE124" i="5"/>
  <c r="AD124" i="5"/>
  <c r="Z124" i="5"/>
  <c r="O124" i="5"/>
  <c r="L124" i="5"/>
  <c r="AL124" i="5" s="1"/>
  <c r="K124" i="5"/>
  <c r="J124" i="5"/>
  <c r="J122" i="5" s="1"/>
  <c r="BW123" i="5"/>
  <c r="BJ123" i="5"/>
  <c r="BH123" i="5"/>
  <c r="BF123" i="5"/>
  <c r="BD123" i="5"/>
  <c r="AX123" i="5"/>
  <c r="AW123" i="5"/>
  <c r="BC123" i="5" s="1"/>
  <c r="AV123" i="5"/>
  <c r="AP123" i="5"/>
  <c r="BI123" i="5" s="1"/>
  <c r="AO123" i="5"/>
  <c r="AK123" i="5"/>
  <c r="AT122" i="5" s="1"/>
  <c r="AJ123" i="5"/>
  <c r="AH123" i="5"/>
  <c r="AG123" i="5"/>
  <c r="AF123" i="5"/>
  <c r="AE123" i="5"/>
  <c r="AD123" i="5"/>
  <c r="AC123" i="5"/>
  <c r="AB123" i="5"/>
  <c r="Z123" i="5"/>
  <c r="O123" i="5"/>
  <c r="L123" i="5"/>
  <c r="K123" i="5"/>
  <c r="J123" i="5"/>
  <c r="AS122" i="5"/>
  <c r="L122" i="5"/>
  <c r="K122" i="5"/>
  <c r="BW121" i="5"/>
  <c r="BJ121" i="5"/>
  <c r="BD121" i="5"/>
  <c r="AX121" i="5"/>
  <c r="AP121" i="5"/>
  <c r="BI121" i="5" s="1"/>
  <c r="AC121" i="5" s="1"/>
  <c r="AO121" i="5"/>
  <c r="AK121" i="5"/>
  <c r="AJ121" i="5"/>
  <c r="AH121" i="5"/>
  <c r="AG121" i="5"/>
  <c r="AF121" i="5"/>
  <c r="AE121" i="5"/>
  <c r="AD121" i="5"/>
  <c r="Z121" i="5"/>
  <c r="O121" i="5"/>
  <c r="L121" i="5"/>
  <c r="AL121" i="5" s="1"/>
  <c r="K121" i="5"/>
  <c r="J121" i="5"/>
  <c r="J119" i="5" s="1"/>
  <c r="BW120" i="5"/>
  <c r="BJ120" i="5"/>
  <c r="BH120" i="5"/>
  <c r="BF120" i="5"/>
  <c r="BD120" i="5"/>
  <c r="AX120" i="5"/>
  <c r="AW120" i="5"/>
  <c r="BC120" i="5" s="1"/>
  <c r="AV120" i="5"/>
  <c r="AP120" i="5"/>
  <c r="BI120" i="5" s="1"/>
  <c r="AO120" i="5"/>
  <c r="AK120" i="5"/>
  <c r="AJ120" i="5"/>
  <c r="AH120" i="5"/>
  <c r="AG120" i="5"/>
  <c r="AF120" i="5"/>
  <c r="AE120" i="5"/>
  <c r="AD120" i="5"/>
  <c r="AC120" i="5"/>
  <c r="AB120" i="5"/>
  <c r="Z120" i="5"/>
  <c r="O120" i="5"/>
  <c r="L120" i="5"/>
  <c r="K120" i="5"/>
  <c r="J120" i="5"/>
  <c r="AT119" i="5"/>
  <c r="AS119" i="5"/>
  <c r="L119" i="5"/>
  <c r="K119" i="5"/>
  <c r="BW118" i="5"/>
  <c r="BJ118" i="5"/>
  <c r="BD118" i="5"/>
  <c r="AX118" i="5"/>
  <c r="AP118" i="5"/>
  <c r="BI118" i="5" s="1"/>
  <c r="AC118" i="5" s="1"/>
  <c r="AO118" i="5"/>
  <c r="AK118" i="5"/>
  <c r="AJ118" i="5"/>
  <c r="AH118" i="5"/>
  <c r="AG118" i="5"/>
  <c r="AF118" i="5"/>
  <c r="AE118" i="5"/>
  <c r="AD118" i="5"/>
  <c r="Z118" i="5"/>
  <c r="O118" i="5"/>
  <c r="BF118" i="5" s="1"/>
  <c r="L118" i="5"/>
  <c r="AL118" i="5" s="1"/>
  <c r="AU117" i="5" s="1"/>
  <c r="K118" i="5"/>
  <c r="J118" i="5"/>
  <c r="AT117" i="5"/>
  <c r="AS117" i="5"/>
  <c r="O117" i="5"/>
  <c r="L117" i="5"/>
  <c r="K117" i="5"/>
  <c r="J117" i="5"/>
  <c r="K116" i="5"/>
  <c r="J13" i="4" s="1"/>
  <c r="BW115" i="5"/>
  <c r="BJ115" i="5"/>
  <c r="BI115" i="5"/>
  <c r="BH115" i="5"/>
  <c r="BD115" i="5"/>
  <c r="AX115" i="5"/>
  <c r="AP115" i="5"/>
  <c r="AO115" i="5"/>
  <c r="AW115" i="5" s="1"/>
  <c r="AL115" i="5"/>
  <c r="AK115" i="5"/>
  <c r="AJ115" i="5"/>
  <c r="AH115" i="5"/>
  <c r="AG115" i="5"/>
  <c r="AF115" i="5"/>
  <c r="AE115" i="5"/>
  <c r="AD115" i="5"/>
  <c r="AC115" i="5"/>
  <c r="AB115" i="5"/>
  <c r="Z115" i="5"/>
  <c r="O115" i="5"/>
  <c r="BF115" i="5" s="1"/>
  <c r="M115" i="5"/>
  <c r="L115" i="5"/>
  <c r="K115" i="5"/>
  <c r="J115" i="5"/>
  <c r="BW114" i="5"/>
  <c r="M114" i="5" s="1"/>
  <c r="BJ114" i="5"/>
  <c r="BI114" i="5"/>
  <c r="BH114" i="5"/>
  <c r="BF114" i="5"/>
  <c r="BD114" i="5"/>
  <c r="AX114" i="5"/>
  <c r="AW114" i="5"/>
  <c r="AP114" i="5"/>
  <c r="AO114" i="5"/>
  <c r="AL114" i="5"/>
  <c r="AK114" i="5"/>
  <c r="AJ114" i="5"/>
  <c r="AH114" i="5"/>
  <c r="AG114" i="5"/>
  <c r="AF114" i="5"/>
  <c r="AE114" i="5"/>
  <c r="AD114" i="5"/>
  <c r="AC114" i="5"/>
  <c r="AB114" i="5"/>
  <c r="Z114" i="5"/>
  <c r="O114" i="5"/>
  <c r="L114" i="5"/>
  <c r="K114" i="5"/>
  <c r="J114" i="5"/>
  <c r="BW113" i="5"/>
  <c r="M113" i="5" s="1"/>
  <c r="BJ113" i="5"/>
  <c r="BH113" i="5"/>
  <c r="BF113" i="5"/>
  <c r="BD113" i="5"/>
  <c r="AW113" i="5"/>
  <c r="AP113" i="5"/>
  <c r="AO113" i="5"/>
  <c r="AL113" i="5"/>
  <c r="AK113" i="5"/>
  <c r="AJ113" i="5"/>
  <c r="AH113" i="5"/>
  <c r="AG113" i="5"/>
  <c r="AF113" i="5"/>
  <c r="AE113" i="5"/>
  <c r="AD113" i="5"/>
  <c r="AC113" i="5"/>
  <c r="AB113" i="5"/>
  <c r="Z113" i="5"/>
  <c r="O113" i="5"/>
  <c r="L113" i="5"/>
  <c r="K113" i="5"/>
  <c r="J113" i="5"/>
  <c r="BW112" i="5"/>
  <c r="M112" i="5" s="1"/>
  <c r="BJ112" i="5"/>
  <c r="BI112" i="5"/>
  <c r="BD112" i="5"/>
  <c r="AP112" i="5"/>
  <c r="AX112" i="5" s="1"/>
  <c r="AO112" i="5"/>
  <c r="J112" i="5" s="1"/>
  <c r="AL112" i="5"/>
  <c r="AK112" i="5"/>
  <c r="AJ112" i="5"/>
  <c r="AH112" i="5"/>
  <c r="AG112" i="5"/>
  <c r="AF112" i="5"/>
  <c r="AE112" i="5"/>
  <c r="AD112" i="5"/>
  <c r="AC112" i="5"/>
  <c r="AB112" i="5"/>
  <c r="Z112" i="5"/>
  <c r="O112" i="5"/>
  <c r="BF112" i="5" s="1"/>
  <c r="L112" i="5"/>
  <c r="K112" i="5"/>
  <c r="BW111" i="5"/>
  <c r="BJ111" i="5"/>
  <c r="BI111" i="5"/>
  <c r="BH111" i="5"/>
  <c r="BD111" i="5"/>
  <c r="AX111" i="5"/>
  <c r="AP111" i="5"/>
  <c r="AO111" i="5"/>
  <c r="AW111" i="5" s="1"/>
  <c r="AL111" i="5"/>
  <c r="AK111" i="5"/>
  <c r="AJ111" i="5"/>
  <c r="AH111" i="5"/>
  <c r="AG111" i="5"/>
  <c r="AF111" i="5"/>
  <c r="AE111" i="5"/>
  <c r="AD111" i="5"/>
  <c r="AC111" i="5"/>
  <c r="AB111" i="5"/>
  <c r="Z111" i="5"/>
  <c r="O111" i="5"/>
  <c r="BF111" i="5" s="1"/>
  <c r="M111" i="5"/>
  <c r="L111" i="5"/>
  <c r="K111" i="5"/>
  <c r="J111" i="5"/>
  <c r="BW110" i="5"/>
  <c r="M110" i="5" s="1"/>
  <c r="BJ110" i="5"/>
  <c r="BI110" i="5"/>
  <c r="BH110" i="5"/>
  <c r="BF110" i="5"/>
  <c r="BD110" i="5"/>
  <c r="AX110" i="5"/>
  <c r="AW110" i="5"/>
  <c r="AP110" i="5"/>
  <c r="AO110" i="5"/>
  <c r="AL110" i="5"/>
  <c r="AK110" i="5"/>
  <c r="AJ110" i="5"/>
  <c r="AH110" i="5"/>
  <c r="AG110" i="5"/>
  <c r="AF110" i="5"/>
  <c r="AE110" i="5"/>
  <c r="AD110" i="5"/>
  <c r="AC110" i="5"/>
  <c r="AB110" i="5"/>
  <c r="Z110" i="5"/>
  <c r="O110" i="5"/>
  <c r="L110" i="5"/>
  <c r="K110" i="5"/>
  <c r="J110" i="5"/>
  <c r="BW109" i="5"/>
  <c r="M109" i="5" s="1"/>
  <c r="BJ109" i="5"/>
  <c r="BH109" i="5"/>
  <c r="BF109" i="5"/>
  <c r="BD109" i="5"/>
  <c r="AW109" i="5"/>
  <c r="AP109" i="5"/>
  <c r="AO109" i="5"/>
  <c r="AL109" i="5"/>
  <c r="AK109" i="5"/>
  <c r="AJ109" i="5"/>
  <c r="AH109" i="5"/>
  <c r="AG109" i="5"/>
  <c r="AF109" i="5"/>
  <c r="AE109" i="5"/>
  <c r="AD109" i="5"/>
  <c r="AC109" i="5"/>
  <c r="AB109" i="5"/>
  <c r="Z109" i="5"/>
  <c r="O109" i="5"/>
  <c r="L109" i="5"/>
  <c r="J109" i="5"/>
  <c r="BW108" i="5"/>
  <c r="M108" i="5" s="1"/>
  <c r="BJ108" i="5"/>
  <c r="BI108" i="5"/>
  <c r="BD108" i="5"/>
  <c r="AP108" i="5"/>
  <c r="AX108" i="5" s="1"/>
  <c r="AO108" i="5"/>
  <c r="AL108" i="5"/>
  <c r="AK108" i="5"/>
  <c r="AJ108" i="5"/>
  <c r="AH108" i="5"/>
  <c r="AG108" i="5"/>
  <c r="AF108" i="5"/>
  <c r="AE108" i="5"/>
  <c r="AD108" i="5"/>
  <c r="AC108" i="5"/>
  <c r="AB108" i="5"/>
  <c r="Z108" i="5"/>
  <c r="O108" i="5"/>
  <c r="BF108" i="5" s="1"/>
  <c r="L108" i="5"/>
  <c r="K108" i="5"/>
  <c r="BW107" i="5"/>
  <c r="BJ107" i="5"/>
  <c r="BI107" i="5"/>
  <c r="BH107" i="5"/>
  <c r="BD107" i="5"/>
  <c r="AX107" i="5"/>
  <c r="AP107" i="5"/>
  <c r="AO107" i="5"/>
  <c r="AW107" i="5" s="1"/>
  <c r="AL107" i="5"/>
  <c r="AK107" i="5"/>
  <c r="AJ107" i="5"/>
  <c r="AH107" i="5"/>
  <c r="AG107" i="5"/>
  <c r="AF107" i="5"/>
  <c r="AE107" i="5"/>
  <c r="AD107" i="5"/>
  <c r="AC107" i="5"/>
  <c r="AB107" i="5"/>
  <c r="Z107" i="5"/>
  <c r="O107" i="5"/>
  <c r="BF107" i="5" s="1"/>
  <c r="M107" i="5"/>
  <c r="L107" i="5"/>
  <c r="K107" i="5"/>
  <c r="J107" i="5"/>
  <c r="BW106" i="5"/>
  <c r="M106" i="5" s="1"/>
  <c r="BJ106" i="5"/>
  <c r="BI106" i="5"/>
  <c r="BH106" i="5"/>
  <c r="BF106" i="5"/>
  <c r="BD106" i="5"/>
  <c r="AX106" i="5"/>
  <c r="AW106" i="5"/>
  <c r="AP106" i="5"/>
  <c r="AO106" i="5"/>
  <c r="AL106" i="5"/>
  <c r="AK106" i="5"/>
  <c r="AJ106" i="5"/>
  <c r="AH106" i="5"/>
  <c r="AG106" i="5"/>
  <c r="AF106" i="5"/>
  <c r="AE106" i="5"/>
  <c r="AD106" i="5"/>
  <c r="AC106" i="5"/>
  <c r="AB106" i="5"/>
  <c r="Z106" i="5"/>
  <c r="O106" i="5"/>
  <c r="L106" i="5"/>
  <c r="K106" i="5"/>
  <c r="J106" i="5"/>
  <c r="BW105" i="5"/>
  <c r="M105" i="5" s="1"/>
  <c r="BJ105" i="5"/>
  <c r="BH105" i="5"/>
  <c r="BF105" i="5"/>
  <c r="BD105" i="5"/>
  <c r="AW105" i="5"/>
  <c r="AP105" i="5"/>
  <c r="AO105" i="5"/>
  <c r="AL105" i="5"/>
  <c r="AK105" i="5"/>
  <c r="AJ105" i="5"/>
  <c r="AH105" i="5"/>
  <c r="AG105" i="5"/>
  <c r="AF105" i="5"/>
  <c r="AE105" i="5"/>
  <c r="AD105" i="5"/>
  <c r="AC105" i="5"/>
  <c r="AB105" i="5"/>
  <c r="Z105" i="5"/>
  <c r="O105" i="5"/>
  <c r="L105" i="5"/>
  <c r="K105" i="5"/>
  <c r="J105" i="5"/>
  <c r="BW104" i="5"/>
  <c r="M104" i="5" s="1"/>
  <c r="BJ104" i="5"/>
  <c r="BI104" i="5"/>
  <c r="BD104" i="5"/>
  <c r="AP104" i="5"/>
  <c r="AX104" i="5" s="1"/>
  <c r="AO104" i="5"/>
  <c r="AL104" i="5"/>
  <c r="AK104" i="5"/>
  <c r="AJ104" i="5"/>
  <c r="AH104" i="5"/>
  <c r="AG104" i="5"/>
  <c r="AF104" i="5"/>
  <c r="AE104" i="5"/>
  <c r="AD104" i="5"/>
  <c r="AC104" i="5"/>
  <c r="AB104" i="5"/>
  <c r="Z104" i="5"/>
  <c r="O104" i="5"/>
  <c r="BF104" i="5" s="1"/>
  <c r="L104" i="5"/>
  <c r="K104" i="5"/>
  <c r="BW103" i="5"/>
  <c r="BJ103" i="5"/>
  <c r="BI103" i="5"/>
  <c r="BH103" i="5"/>
  <c r="BD103" i="5"/>
  <c r="AX103" i="5"/>
  <c r="AP103" i="5"/>
  <c r="AO103" i="5"/>
  <c r="AW103" i="5" s="1"/>
  <c r="AL103" i="5"/>
  <c r="AK103" i="5"/>
  <c r="AJ103" i="5"/>
  <c r="AH103" i="5"/>
  <c r="AG103" i="5"/>
  <c r="AF103" i="5"/>
  <c r="AE103" i="5"/>
  <c r="AD103" i="5"/>
  <c r="AC103" i="5"/>
  <c r="AB103" i="5"/>
  <c r="Z103" i="5"/>
  <c r="O103" i="5"/>
  <c r="BF103" i="5" s="1"/>
  <c r="M103" i="5"/>
  <c r="L103" i="5"/>
  <c r="K103" i="5"/>
  <c r="J103" i="5"/>
  <c r="BW102" i="5"/>
  <c r="M102" i="5" s="1"/>
  <c r="BJ102" i="5"/>
  <c r="BI102" i="5"/>
  <c r="BH102" i="5"/>
  <c r="BF102" i="5"/>
  <c r="BD102" i="5"/>
  <c r="AX102" i="5"/>
  <c r="AW102" i="5"/>
  <c r="AP102" i="5"/>
  <c r="AO102" i="5"/>
  <c r="AL102" i="5"/>
  <c r="AK102" i="5"/>
  <c r="AJ102" i="5"/>
  <c r="AH102" i="5"/>
  <c r="AG102" i="5"/>
  <c r="AF102" i="5"/>
  <c r="AE102" i="5"/>
  <c r="AD102" i="5"/>
  <c r="AC102" i="5"/>
  <c r="AB102" i="5"/>
  <c r="Z102" i="5"/>
  <c r="O102" i="5"/>
  <c r="L102" i="5"/>
  <c r="K102" i="5"/>
  <c r="J102" i="5"/>
  <c r="BW101" i="5"/>
  <c r="M101" i="5" s="1"/>
  <c r="BJ101" i="5"/>
  <c r="BH101" i="5"/>
  <c r="BF101" i="5"/>
  <c r="BD101" i="5"/>
  <c r="AW101" i="5"/>
  <c r="AP101" i="5"/>
  <c r="AO101" i="5"/>
  <c r="AL101" i="5"/>
  <c r="AK101" i="5"/>
  <c r="AJ101" i="5"/>
  <c r="AH101" i="5"/>
  <c r="AG101" i="5"/>
  <c r="AF101" i="5"/>
  <c r="AE101" i="5"/>
  <c r="AD101" i="5"/>
  <c r="AC101" i="5"/>
  <c r="AB101" i="5"/>
  <c r="Z101" i="5"/>
  <c r="O101" i="5"/>
  <c r="L101" i="5"/>
  <c r="J101" i="5"/>
  <c r="BW100" i="5"/>
  <c r="M100" i="5" s="1"/>
  <c r="BJ100" i="5"/>
  <c r="BI100" i="5"/>
  <c r="BD100" i="5"/>
  <c r="AP100" i="5"/>
  <c r="AX100" i="5" s="1"/>
  <c r="AO100" i="5"/>
  <c r="AL100" i="5"/>
  <c r="AK100" i="5"/>
  <c r="AJ100" i="5"/>
  <c r="AH100" i="5"/>
  <c r="AG100" i="5"/>
  <c r="AF100" i="5"/>
  <c r="AE100" i="5"/>
  <c r="AD100" i="5"/>
  <c r="AC100" i="5"/>
  <c r="AB100" i="5"/>
  <c r="Z100" i="5"/>
  <c r="O100" i="5"/>
  <c r="BF100" i="5" s="1"/>
  <c r="L100" i="5"/>
  <c r="K100" i="5"/>
  <c r="BW99" i="5"/>
  <c r="BJ99" i="5"/>
  <c r="BI99" i="5"/>
  <c r="BH99" i="5"/>
  <c r="BD99" i="5"/>
  <c r="AX99" i="5"/>
  <c r="AP99" i="5"/>
  <c r="AO99" i="5"/>
  <c r="AW99" i="5" s="1"/>
  <c r="AL99" i="5"/>
  <c r="AK99" i="5"/>
  <c r="AJ99" i="5"/>
  <c r="AH99" i="5"/>
  <c r="AG99" i="5"/>
  <c r="AF99" i="5"/>
  <c r="AE99" i="5"/>
  <c r="AD99" i="5"/>
  <c r="AC99" i="5"/>
  <c r="AB99" i="5"/>
  <c r="Z99" i="5"/>
  <c r="O99" i="5"/>
  <c r="BF99" i="5" s="1"/>
  <c r="M99" i="5"/>
  <c r="L99" i="5"/>
  <c r="K99" i="5"/>
  <c r="J99" i="5"/>
  <c r="BW98" i="5"/>
  <c r="M98" i="5" s="1"/>
  <c r="BJ98" i="5"/>
  <c r="BI98" i="5"/>
  <c r="BH98" i="5"/>
  <c r="BF98" i="5"/>
  <c r="BD98" i="5"/>
  <c r="AX98" i="5"/>
  <c r="AW98" i="5"/>
  <c r="AP98" i="5"/>
  <c r="AO98" i="5"/>
  <c r="AL98" i="5"/>
  <c r="AK98" i="5"/>
  <c r="AJ98" i="5"/>
  <c r="AH98" i="5"/>
  <c r="AG98" i="5"/>
  <c r="AF98" i="5"/>
  <c r="AE98" i="5"/>
  <c r="AD98" i="5"/>
  <c r="AC98" i="5"/>
  <c r="AB98" i="5"/>
  <c r="Z98" i="5"/>
  <c r="O98" i="5"/>
  <c r="L98" i="5"/>
  <c r="K98" i="5"/>
  <c r="J98" i="5"/>
  <c r="BW97" i="5"/>
  <c r="M97" i="5" s="1"/>
  <c r="BJ97" i="5"/>
  <c r="BH97" i="5"/>
  <c r="BF97" i="5"/>
  <c r="BD97" i="5"/>
  <c r="AW97" i="5"/>
  <c r="AP97" i="5"/>
  <c r="AO97" i="5"/>
  <c r="AL97" i="5"/>
  <c r="AK97" i="5"/>
  <c r="AJ97" i="5"/>
  <c r="AH97" i="5"/>
  <c r="AG97" i="5"/>
  <c r="AF97" i="5"/>
  <c r="AE97" i="5"/>
  <c r="AD97" i="5"/>
  <c r="AC97" i="5"/>
  <c r="AB97" i="5"/>
  <c r="Z97" i="5"/>
  <c r="O97" i="5"/>
  <c r="L97" i="5"/>
  <c r="K97" i="5"/>
  <c r="J97" i="5"/>
  <c r="BW96" i="5"/>
  <c r="M96" i="5" s="1"/>
  <c r="BJ96" i="5"/>
  <c r="BI96" i="5"/>
  <c r="BD96" i="5"/>
  <c r="AP96" i="5"/>
  <c r="AX96" i="5" s="1"/>
  <c r="AO96" i="5"/>
  <c r="AL96" i="5"/>
  <c r="AK96" i="5"/>
  <c r="AJ96" i="5"/>
  <c r="AH96" i="5"/>
  <c r="AG96" i="5"/>
  <c r="AF96" i="5"/>
  <c r="AE96" i="5"/>
  <c r="AD96" i="5"/>
  <c r="AC96" i="5"/>
  <c r="AB96" i="5"/>
  <c r="Z96" i="5"/>
  <c r="O96" i="5"/>
  <c r="BF96" i="5" s="1"/>
  <c r="L96" i="5"/>
  <c r="K96" i="5"/>
  <c r="BW95" i="5"/>
  <c r="BJ95" i="5"/>
  <c r="BI95" i="5"/>
  <c r="BH95" i="5"/>
  <c r="BD95" i="5"/>
  <c r="AX95" i="5"/>
  <c r="AP95" i="5"/>
  <c r="AO95" i="5"/>
  <c r="AW95" i="5" s="1"/>
  <c r="AL95" i="5"/>
  <c r="AU93" i="5" s="1"/>
  <c r="AK95" i="5"/>
  <c r="AJ95" i="5"/>
  <c r="AH95" i="5"/>
  <c r="AG95" i="5"/>
  <c r="AF95" i="5"/>
  <c r="AE95" i="5"/>
  <c r="AD95" i="5"/>
  <c r="AC95" i="5"/>
  <c r="AB95" i="5"/>
  <c r="Z95" i="5"/>
  <c r="O95" i="5"/>
  <c r="BF95" i="5" s="1"/>
  <c r="M95" i="5"/>
  <c r="L95" i="5"/>
  <c r="K95" i="5"/>
  <c r="J95" i="5"/>
  <c r="BW94" i="5"/>
  <c r="M94" i="5" s="1"/>
  <c r="M93" i="5" s="1"/>
  <c r="BJ94" i="5"/>
  <c r="BI94" i="5"/>
  <c r="BH94" i="5"/>
  <c r="BF94" i="5"/>
  <c r="BD94" i="5"/>
  <c r="AX94" i="5"/>
  <c r="AW94" i="5"/>
  <c r="AP94" i="5"/>
  <c r="AO94" i="5"/>
  <c r="AL94" i="5"/>
  <c r="AK94" i="5"/>
  <c r="AJ94" i="5"/>
  <c r="AH94" i="5"/>
  <c r="AG94" i="5"/>
  <c r="AF94" i="5"/>
  <c r="AE94" i="5"/>
  <c r="AD94" i="5"/>
  <c r="AC94" i="5"/>
  <c r="AB94" i="5"/>
  <c r="Z94" i="5"/>
  <c r="O94" i="5"/>
  <c r="L94" i="5"/>
  <c r="K94" i="5"/>
  <c r="J94" i="5"/>
  <c r="AT93" i="5"/>
  <c r="L93" i="5"/>
  <c r="BW92" i="5"/>
  <c r="M92" i="5" s="1"/>
  <c r="BJ92" i="5"/>
  <c r="BH92" i="5"/>
  <c r="AB92" i="5" s="1"/>
  <c r="BD92" i="5"/>
  <c r="AW92" i="5"/>
  <c r="AP92" i="5"/>
  <c r="AO92" i="5"/>
  <c r="AL92" i="5"/>
  <c r="AK92" i="5"/>
  <c r="AJ92" i="5"/>
  <c r="AH92" i="5"/>
  <c r="AG92" i="5"/>
  <c r="AF92" i="5"/>
  <c r="AE92" i="5"/>
  <c r="AD92" i="5"/>
  <c r="Z92" i="5"/>
  <c r="O92" i="5"/>
  <c r="L92" i="5"/>
  <c r="J92" i="5"/>
  <c r="BW91" i="5"/>
  <c r="BJ91" i="5"/>
  <c r="BI91" i="5"/>
  <c r="BH91" i="5"/>
  <c r="AB91" i="5" s="1"/>
  <c r="BD91" i="5"/>
  <c r="AX91" i="5"/>
  <c r="AP91" i="5"/>
  <c r="K91" i="5" s="1"/>
  <c r="AO91" i="5"/>
  <c r="AW91" i="5" s="1"/>
  <c r="AL91" i="5"/>
  <c r="AK91" i="5"/>
  <c r="AJ91" i="5"/>
  <c r="AS89" i="5" s="1"/>
  <c r="AH91" i="5"/>
  <c r="AG91" i="5"/>
  <c r="AF91" i="5"/>
  <c r="AE91" i="5"/>
  <c r="AD91" i="5"/>
  <c r="AC91" i="5"/>
  <c r="Z91" i="5"/>
  <c r="O91" i="5"/>
  <c r="BF91" i="5" s="1"/>
  <c r="L91" i="5"/>
  <c r="M91" i="5" s="1"/>
  <c r="BW90" i="5"/>
  <c r="BJ90" i="5"/>
  <c r="BF90" i="5"/>
  <c r="BD90" i="5"/>
  <c r="AX90" i="5"/>
  <c r="AW90" i="5"/>
  <c r="BC90" i="5" s="1"/>
  <c r="AV90" i="5"/>
  <c r="AP90" i="5"/>
  <c r="BI90" i="5" s="1"/>
  <c r="AC90" i="5" s="1"/>
  <c r="AO90" i="5"/>
  <c r="BH90" i="5" s="1"/>
  <c r="AK90" i="5"/>
  <c r="AJ90" i="5"/>
  <c r="AH90" i="5"/>
  <c r="AG90" i="5"/>
  <c r="AF90" i="5"/>
  <c r="AE90" i="5"/>
  <c r="AD90" i="5"/>
  <c r="AB90" i="5"/>
  <c r="Z90" i="5"/>
  <c r="O90" i="5"/>
  <c r="L90" i="5"/>
  <c r="K90" i="5"/>
  <c r="J90" i="5"/>
  <c r="AT89" i="5"/>
  <c r="L89" i="5"/>
  <c r="BW88" i="5"/>
  <c r="BJ88" i="5"/>
  <c r="BF88" i="5"/>
  <c r="BD88" i="5"/>
  <c r="AX88" i="5"/>
  <c r="AW88" i="5"/>
  <c r="BC88" i="5" s="1"/>
  <c r="AV88" i="5"/>
  <c r="AP88" i="5"/>
  <c r="BI88" i="5" s="1"/>
  <c r="AC88" i="5" s="1"/>
  <c r="AO88" i="5"/>
  <c r="BH88" i="5" s="1"/>
  <c r="AK88" i="5"/>
  <c r="AJ88" i="5"/>
  <c r="AH88" i="5"/>
  <c r="AG88" i="5"/>
  <c r="AF88" i="5"/>
  <c r="AE88" i="5"/>
  <c r="AD88" i="5"/>
  <c r="AB88" i="5"/>
  <c r="Z88" i="5"/>
  <c r="O88" i="5"/>
  <c r="L88" i="5"/>
  <c r="K88" i="5"/>
  <c r="J88" i="5"/>
  <c r="BW87" i="5"/>
  <c r="BJ87" i="5"/>
  <c r="BF87" i="5"/>
  <c r="BD87" i="5"/>
  <c r="AX87" i="5"/>
  <c r="AW87" i="5"/>
  <c r="BC87" i="5" s="1"/>
  <c r="AV87" i="5"/>
  <c r="AP87" i="5"/>
  <c r="BI87" i="5" s="1"/>
  <c r="AC87" i="5" s="1"/>
  <c r="AO87" i="5"/>
  <c r="BH87" i="5" s="1"/>
  <c r="AK87" i="5"/>
  <c r="AJ87" i="5"/>
  <c r="AH87" i="5"/>
  <c r="AG87" i="5"/>
  <c r="AF87" i="5"/>
  <c r="AE87" i="5"/>
  <c r="AD87" i="5"/>
  <c r="AB87" i="5"/>
  <c r="Z87" i="5"/>
  <c r="O87" i="5"/>
  <c r="L87" i="5"/>
  <c r="K87" i="5"/>
  <c r="J87" i="5"/>
  <c r="BW86" i="5"/>
  <c r="BJ86" i="5"/>
  <c r="BF86" i="5"/>
  <c r="BD86" i="5"/>
  <c r="AX86" i="5"/>
  <c r="AW86" i="5"/>
  <c r="BC86" i="5" s="1"/>
  <c r="AV86" i="5"/>
  <c r="AP86" i="5"/>
  <c r="BI86" i="5" s="1"/>
  <c r="AC86" i="5" s="1"/>
  <c r="AO86" i="5"/>
  <c r="BH86" i="5" s="1"/>
  <c r="AK86" i="5"/>
  <c r="AJ86" i="5"/>
  <c r="AH86" i="5"/>
  <c r="AG86" i="5"/>
  <c r="AF86" i="5"/>
  <c r="AE86" i="5"/>
  <c r="AD86" i="5"/>
  <c r="AB86" i="5"/>
  <c r="Z86" i="5"/>
  <c r="O86" i="5"/>
  <c r="L86" i="5"/>
  <c r="K86" i="5"/>
  <c r="J86" i="5"/>
  <c r="AT85" i="5"/>
  <c r="AS85" i="5"/>
  <c r="O85" i="5"/>
  <c r="L85" i="5"/>
  <c r="K85" i="5"/>
  <c r="J85" i="5"/>
  <c r="BW84" i="5"/>
  <c r="BJ84" i="5"/>
  <c r="BF84" i="5"/>
  <c r="BD84" i="5"/>
  <c r="AX84" i="5"/>
  <c r="AW84" i="5"/>
  <c r="BC84" i="5" s="1"/>
  <c r="AV84" i="5"/>
  <c r="AP84" i="5"/>
  <c r="BI84" i="5" s="1"/>
  <c r="AC84" i="5" s="1"/>
  <c r="AO84" i="5"/>
  <c r="BH84" i="5" s="1"/>
  <c r="AK84" i="5"/>
  <c r="AJ84" i="5"/>
  <c r="AH84" i="5"/>
  <c r="AG84" i="5"/>
  <c r="AF84" i="5"/>
  <c r="AE84" i="5"/>
  <c r="AD84" i="5"/>
  <c r="AB84" i="5"/>
  <c r="Z84" i="5"/>
  <c r="O84" i="5"/>
  <c r="L84" i="5"/>
  <c r="K84" i="5"/>
  <c r="J84" i="5"/>
  <c r="BW83" i="5"/>
  <c r="BJ83" i="5"/>
  <c r="BF83" i="5"/>
  <c r="BD83" i="5"/>
  <c r="AX83" i="5"/>
  <c r="AW83" i="5"/>
  <c r="BC83" i="5" s="1"/>
  <c r="AV83" i="5"/>
  <c r="AP83" i="5"/>
  <c r="BI83" i="5" s="1"/>
  <c r="AC83" i="5" s="1"/>
  <c r="AO83" i="5"/>
  <c r="BH83" i="5" s="1"/>
  <c r="AK83" i="5"/>
  <c r="AJ83" i="5"/>
  <c r="AH83" i="5"/>
  <c r="AG83" i="5"/>
  <c r="AF83" i="5"/>
  <c r="AE83" i="5"/>
  <c r="AD83" i="5"/>
  <c r="AB83" i="5"/>
  <c r="Z83" i="5"/>
  <c r="O83" i="5"/>
  <c r="L83" i="5"/>
  <c r="K83" i="5"/>
  <c r="J83" i="5"/>
  <c r="BW82" i="5"/>
  <c r="BJ82" i="5"/>
  <c r="BF82" i="5"/>
  <c r="BD82" i="5"/>
  <c r="AX82" i="5"/>
  <c r="AW82" i="5"/>
  <c r="BC82" i="5" s="1"/>
  <c r="AV82" i="5"/>
  <c r="AP82" i="5"/>
  <c r="BI82" i="5" s="1"/>
  <c r="AC82" i="5" s="1"/>
  <c r="AO82" i="5"/>
  <c r="BH82" i="5" s="1"/>
  <c r="AK82" i="5"/>
  <c r="AJ82" i="5"/>
  <c r="AH82" i="5"/>
  <c r="AG82" i="5"/>
  <c r="AF82" i="5"/>
  <c r="AE82" i="5"/>
  <c r="AD82" i="5"/>
  <c r="AB82" i="5"/>
  <c r="Z82" i="5"/>
  <c r="O82" i="5"/>
  <c r="L82" i="5"/>
  <c r="K82" i="5"/>
  <c r="J82" i="5"/>
  <c r="BW81" i="5"/>
  <c r="BJ81" i="5"/>
  <c r="BF81" i="5"/>
  <c r="BD81" i="5"/>
  <c r="AX81" i="5"/>
  <c r="AW81" i="5"/>
  <c r="BC81" i="5" s="1"/>
  <c r="AV81" i="5"/>
  <c r="AP81" i="5"/>
  <c r="BI81" i="5" s="1"/>
  <c r="AC81" i="5" s="1"/>
  <c r="AO81" i="5"/>
  <c r="BH81" i="5" s="1"/>
  <c r="AK81" i="5"/>
  <c r="AJ81" i="5"/>
  <c r="AH81" i="5"/>
  <c r="AG81" i="5"/>
  <c r="AF81" i="5"/>
  <c r="AE81" i="5"/>
  <c r="AD81" i="5"/>
  <c r="AB81" i="5"/>
  <c r="Z81" i="5"/>
  <c r="O81" i="5"/>
  <c r="L81" i="5"/>
  <c r="K81" i="5"/>
  <c r="J81" i="5"/>
  <c r="BW80" i="5"/>
  <c r="BJ80" i="5"/>
  <c r="BF80" i="5"/>
  <c r="BD80" i="5"/>
  <c r="AX80" i="5"/>
  <c r="AW80" i="5"/>
  <c r="BC80" i="5" s="1"/>
  <c r="AV80" i="5"/>
  <c r="AP80" i="5"/>
  <c r="BI80" i="5" s="1"/>
  <c r="AC80" i="5" s="1"/>
  <c r="AO80" i="5"/>
  <c r="BH80" i="5" s="1"/>
  <c r="AK80" i="5"/>
  <c r="AJ80" i="5"/>
  <c r="AH80" i="5"/>
  <c r="AG80" i="5"/>
  <c r="AF80" i="5"/>
  <c r="AE80" i="5"/>
  <c r="AD80" i="5"/>
  <c r="AB80" i="5"/>
  <c r="Z80" i="5"/>
  <c r="O80" i="5"/>
  <c r="L80" i="5"/>
  <c r="K80" i="5"/>
  <c r="J80" i="5"/>
  <c r="BW79" i="5"/>
  <c r="BJ79" i="5"/>
  <c r="BF79" i="5"/>
  <c r="BD79" i="5"/>
  <c r="AX79" i="5"/>
  <c r="AW79" i="5"/>
  <c r="BC79" i="5" s="1"/>
  <c r="AV79" i="5"/>
  <c r="AP79" i="5"/>
  <c r="BI79" i="5" s="1"/>
  <c r="AC79" i="5" s="1"/>
  <c r="AO79" i="5"/>
  <c r="BH79" i="5" s="1"/>
  <c r="AK79" i="5"/>
  <c r="AJ79" i="5"/>
  <c r="AH79" i="5"/>
  <c r="AG79" i="5"/>
  <c r="AF79" i="5"/>
  <c r="AE79" i="5"/>
  <c r="AD79" i="5"/>
  <c r="AB79" i="5"/>
  <c r="Z79" i="5"/>
  <c r="O79" i="5"/>
  <c r="L79" i="5"/>
  <c r="K79" i="5"/>
  <c r="J79" i="5"/>
  <c r="BW78" i="5"/>
  <c r="BJ78" i="5"/>
  <c r="BF78" i="5"/>
  <c r="BD78" i="5"/>
  <c r="AX78" i="5"/>
  <c r="AW78" i="5"/>
  <c r="BC78" i="5" s="1"/>
  <c r="AV78" i="5"/>
  <c r="AP78" i="5"/>
  <c r="BI78" i="5" s="1"/>
  <c r="AC78" i="5" s="1"/>
  <c r="AO78" i="5"/>
  <c r="BH78" i="5" s="1"/>
  <c r="AK78" i="5"/>
  <c r="AJ78" i="5"/>
  <c r="AH78" i="5"/>
  <c r="AG78" i="5"/>
  <c r="AF78" i="5"/>
  <c r="AE78" i="5"/>
  <c r="AD78" i="5"/>
  <c r="AB78" i="5"/>
  <c r="Z78" i="5"/>
  <c r="O78" i="5"/>
  <c r="L78" i="5"/>
  <c r="K78" i="5"/>
  <c r="J78" i="5"/>
  <c r="BW77" i="5"/>
  <c r="BJ77" i="5"/>
  <c r="BF77" i="5"/>
  <c r="BD77" i="5"/>
  <c r="AX77" i="5"/>
  <c r="AW77" i="5"/>
  <c r="BC77" i="5" s="1"/>
  <c r="AV77" i="5"/>
  <c r="AP77" i="5"/>
  <c r="BI77" i="5" s="1"/>
  <c r="AC77" i="5" s="1"/>
  <c r="AO77" i="5"/>
  <c r="BH77" i="5" s="1"/>
  <c r="AK77" i="5"/>
  <c r="AJ77" i="5"/>
  <c r="AH77" i="5"/>
  <c r="AG77" i="5"/>
  <c r="AF77" i="5"/>
  <c r="AE77" i="5"/>
  <c r="AD77" i="5"/>
  <c r="AB77" i="5"/>
  <c r="Z77" i="5"/>
  <c r="O77" i="5"/>
  <c r="L77" i="5"/>
  <c r="K77" i="5"/>
  <c r="J77" i="5"/>
  <c r="BW76" i="5"/>
  <c r="BJ76" i="5"/>
  <c r="BF76" i="5"/>
  <c r="BD76" i="5"/>
  <c r="AX76" i="5"/>
  <c r="AW76" i="5"/>
  <c r="BC76" i="5" s="1"/>
  <c r="AV76" i="5"/>
  <c r="AP76" i="5"/>
  <c r="BI76" i="5" s="1"/>
  <c r="AC76" i="5" s="1"/>
  <c r="AO76" i="5"/>
  <c r="BH76" i="5" s="1"/>
  <c r="AK76" i="5"/>
  <c r="AJ76" i="5"/>
  <c r="AH76" i="5"/>
  <c r="AG76" i="5"/>
  <c r="AF76" i="5"/>
  <c r="AE76" i="5"/>
  <c r="AD76" i="5"/>
  <c r="AB76" i="5"/>
  <c r="Z76" i="5"/>
  <c r="O76" i="5"/>
  <c r="L76" i="5"/>
  <c r="K76" i="5"/>
  <c r="J76" i="5"/>
  <c r="BW75" i="5"/>
  <c r="BJ75" i="5"/>
  <c r="BF75" i="5"/>
  <c r="BD75" i="5"/>
  <c r="AX75" i="5"/>
  <c r="AW75" i="5"/>
  <c r="BC75" i="5" s="1"/>
  <c r="AV75" i="5"/>
  <c r="AP75" i="5"/>
  <c r="BI75" i="5" s="1"/>
  <c r="AC75" i="5" s="1"/>
  <c r="AO75" i="5"/>
  <c r="BH75" i="5" s="1"/>
  <c r="AK75" i="5"/>
  <c r="AJ75" i="5"/>
  <c r="AH75" i="5"/>
  <c r="AG75" i="5"/>
  <c r="AF75" i="5"/>
  <c r="AE75" i="5"/>
  <c r="AD75" i="5"/>
  <c r="AB75" i="5"/>
  <c r="Z75" i="5"/>
  <c r="O75" i="5"/>
  <c r="L75" i="5"/>
  <c r="K75" i="5"/>
  <c r="J75" i="5"/>
  <c r="BW74" i="5"/>
  <c r="BJ74" i="5"/>
  <c r="BF74" i="5"/>
  <c r="BD74" i="5"/>
  <c r="AX74" i="5"/>
  <c r="AW74" i="5"/>
  <c r="BC74" i="5" s="1"/>
  <c r="AV74" i="5"/>
  <c r="AP74" i="5"/>
  <c r="BI74" i="5" s="1"/>
  <c r="AC74" i="5" s="1"/>
  <c r="AO74" i="5"/>
  <c r="BH74" i="5" s="1"/>
  <c r="AK74" i="5"/>
  <c r="AJ74" i="5"/>
  <c r="AH74" i="5"/>
  <c r="AG74" i="5"/>
  <c r="AF74" i="5"/>
  <c r="AE74" i="5"/>
  <c r="AD74" i="5"/>
  <c r="AB74" i="5"/>
  <c r="Z74" i="5"/>
  <c r="O74" i="5"/>
  <c r="L74" i="5"/>
  <c r="K74" i="5"/>
  <c r="J74" i="5"/>
  <c r="BW73" i="5"/>
  <c r="BJ73" i="5"/>
  <c r="BF73" i="5"/>
  <c r="BD73" i="5"/>
  <c r="AX73" i="5"/>
  <c r="AW73" i="5"/>
  <c r="BC73" i="5" s="1"/>
  <c r="AV73" i="5"/>
  <c r="AP73" i="5"/>
  <c r="BI73" i="5" s="1"/>
  <c r="AC73" i="5" s="1"/>
  <c r="AO73" i="5"/>
  <c r="BH73" i="5" s="1"/>
  <c r="AK73" i="5"/>
  <c r="AJ73" i="5"/>
  <c r="AH73" i="5"/>
  <c r="AG73" i="5"/>
  <c r="AF73" i="5"/>
  <c r="AE73" i="5"/>
  <c r="AD73" i="5"/>
  <c r="AB73" i="5"/>
  <c r="Z73" i="5"/>
  <c r="O73" i="5"/>
  <c r="L73" i="5"/>
  <c r="K73" i="5"/>
  <c r="J73" i="5"/>
  <c r="BW72" i="5"/>
  <c r="BJ72" i="5"/>
  <c r="BF72" i="5"/>
  <c r="BD72" i="5"/>
  <c r="AX72" i="5"/>
  <c r="AW72" i="5"/>
  <c r="BC72" i="5" s="1"/>
  <c r="AV72" i="5"/>
  <c r="AP72" i="5"/>
  <c r="BI72" i="5" s="1"/>
  <c r="AC72" i="5" s="1"/>
  <c r="AO72" i="5"/>
  <c r="BH72" i="5" s="1"/>
  <c r="AK72" i="5"/>
  <c r="AJ72" i="5"/>
  <c r="AH72" i="5"/>
  <c r="AG72" i="5"/>
  <c r="AF72" i="5"/>
  <c r="AE72" i="5"/>
  <c r="AD72" i="5"/>
  <c r="AB72" i="5"/>
  <c r="Z72" i="5"/>
  <c r="O72" i="5"/>
  <c r="L72" i="5"/>
  <c r="K72" i="5"/>
  <c r="J72" i="5"/>
  <c r="BW71" i="5"/>
  <c r="BJ71" i="5"/>
  <c r="BF71" i="5"/>
  <c r="BD71" i="5"/>
  <c r="AX71" i="5"/>
  <c r="AW71" i="5"/>
  <c r="BC71" i="5" s="1"/>
  <c r="AV71" i="5"/>
  <c r="AP71" i="5"/>
  <c r="BI71" i="5" s="1"/>
  <c r="AC71" i="5" s="1"/>
  <c r="AO71" i="5"/>
  <c r="BH71" i="5" s="1"/>
  <c r="AK71" i="5"/>
  <c r="AJ71" i="5"/>
  <c r="AH71" i="5"/>
  <c r="AG71" i="5"/>
  <c r="AF71" i="5"/>
  <c r="AE71" i="5"/>
  <c r="AD71" i="5"/>
  <c r="AB71" i="5"/>
  <c r="Z71" i="5"/>
  <c r="O71" i="5"/>
  <c r="L71" i="5"/>
  <c r="K71" i="5"/>
  <c r="J71" i="5"/>
  <c r="BW70" i="5"/>
  <c r="BJ70" i="5"/>
  <c r="BF70" i="5"/>
  <c r="BD70" i="5"/>
  <c r="AX70" i="5"/>
  <c r="AW70" i="5"/>
  <c r="BC70" i="5" s="1"/>
  <c r="AV70" i="5"/>
  <c r="AP70" i="5"/>
  <c r="BI70" i="5" s="1"/>
  <c r="AC70" i="5" s="1"/>
  <c r="AO70" i="5"/>
  <c r="BH70" i="5" s="1"/>
  <c r="AK70" i="5"/>
  <c r="AT68" i="5" s="1"/>
  <c r="AJ70" i="5"/>
  <c r="AH70" i="5"/>
  <c r="AG70" i="5"/>
  <c r="AF70" i="5"/>
  <c r="AE70" i="5"/>
  <c r="AD70" i="5"/>
  <c r="AB70" i="5"/>
  <c r="Z70" i="5"/>
  <c r="O70" i="5"/>
  <c r="L70" i="5"/>
  <c r="K70" i="5"/>
  <c r="J70" i="5"/>
  <c r="BW69" i="5"/>
  <c r="BJ69" i="5"/>
  <c r="BF69" i="5"/>
  <c r="BD69" i="5"/>
  <c r="AX69" i="5"/>
  <c r="AW69" i="5"/>
  <c r="BC69" i="5" s="1"/>
  <c r="AV69" i="5"/>
  <c r="AP69" i="5"/>
  <c r="BI69" i="5" s="1"/>
  <c r="AC69" i="5" s="1"/>
  <c r="AO69" i="5"/>
  <c r="BH69" i="5" s="1"/>
  <c r="AK69" i="5"/>
  <c r="AJ69" i="5"/>
  <c r="AH69" i="5"/>
  <c r="AG69" i="5"/>
  <c r="AF69" i="5"/>
  <c r="AE69" i="5"/>
  <c r="AD69" i="5"/>
  <c r="AB69" i="5"/>
  <c r="Z69" i="5"/>
  <c r="O69" i="5"/>
  <c r="L69" i="5"/>
  <c r="K69" i="5"/>
  <c r="J69" i="5"/>
  <c r="AS68" i="5"/>
  <c r="O68" i="5"/>
  <c r="K68" i="5"/>
  <c r="J68" i="5"/>
  <c r="BW67" i="5"/>
  <c r="BJ67" i="5"/>
  <c r="Z67" i="5" s="1"/>
  <c r="BF67" i="5"/>
  <c r="BD67" i="5"/>
  <c r="AX67" i="5"/>
  <c r="AW67" i="5"/>
  <c r="BC67" i="5" s="1"/>
  <c r="AV67" i="5"/>
  <c r="AP67" i="5"/>
  <c r="BI67" i="5" s="1"/>
  <c r="AO67" i="5"/>
  <c r="BH67" i="5" s="1"/>
  <c r="AK67" i="5"/>
  <c r="AJ67" i="5"/>
  <c r="AH67" i="5"/>
  <c r="AG67" i="5"/>
  <c r="AF67" i="5"/>
  <c r="AE67" i="5"/>
  <c r="AD67" i="5"/>
  <c r="AC67" i="5"/>
  <c r="AB67" i="5"/>
  <c r="O67" i="5"/>
  <c r="L67" i="5"/>
  <c r="K67" i="5"/>
  <c r="J67" i="5"/>
  <c r="BW66" i="5"/>
  <c r="BJ66" i="5"/>
  <c r="BF66" i="5"/>
  <c r="BD66" i="5"/>
  <c r="AX66" i="5"/>
  <c r="AW66" i="5"/>
  <c r="BC66" i="5" s="1"/>
  <c r="AV66" i="5"/>
  <c r="AP66" i="5"/>
  <c r="BI66" i="5" s="1"/>
  <c r="AC66" i="5" s="1"/>
  <c r="AO66" i="5"/>
  <c r="BH66" i="5" s="1"/>
  <c r="AK66" i="5"/>
  <c r="AJ66" i="5"/>
  <c r="AH66" i="5"/>
  <c r="AG66" i="5"/>
  <c r="AF66" i="5"/>
  <c r="AE66" i="5"/>
  <c r="AD66" i="5"/>
  <c r="AB66" i="5"/>
  <c r="Z66" i="5"/>
  <c r="O66" i="5"/>
  <c r="L66" i="5"/>
  <c r="K66" i="5"/>
  <c r="J66" i="5"/>
  <c r="BW65" i="5"/>
  <c r="BJ65" i="5"/>
  <c r="BF65" i="5"/>
  <c r="BD65" i="5"/>
  <c r="AX65" i="5"/>
  <c r="AW65" i="5"/>
  <c r="BC65" i="5" s="1"/>
  <c r="AV65" i="5"/>
  <c r="AP65" i="5"/>
  <c r="BI65" i="5" s="1"/>
  <c r="AC65" i="5" s="1"/>
  <c r="AO65" i="5"/>
  <c r="BH65" i="5" s="1"/>
  <c r="AK65" i="5"/>
  <c r="AJ65" i="5"/>
  <c r="AH65" i="5"/>
  <c r="AG65" i="5"/>
  <c r="AF65" i="5"/>
  <c r="AE65" i="5"/>
  <c r="AD65" i="5"/>
  <c r="AB65" i="5"/>
  <c r="Z65" i="5"/>
  <c r="O65" i="5"/>
  <c r="L65" i="5"/>
  <c r="K65" i="5"/>
  <c r="J65" i="5"/>
  <c r="BW64" i="5"/>
  <c r="BJ64" i="5"/>
  <c r="BF64" i="5"/>
  <c r="BD64" i="5"/>
  <c r="AX64" i="5"/>
  <c r="AW64" i="5"/>
  <c r="BC64" i="5" s="1"/>
  <c r="AV64" i="5"/>
  <c r="AP64" i="5"/>
  <c r="BI64" i="5" s="1"/>
  <c r="AC64" i="5" s="1"/>
  <c r="AO64" i="5"/>
  <c r="BH64" i="5" s="1"/>
  <c r="AK64" i="5"/>
  <c r="AJ64" i="5"/>
  <c r="AH64" i="5"/>
  <c r="AG64" i="5"/>
  <c r="AF64" i="5"/>
  <c r="AE64" i="5"/>
  <c r="AD64" i="5"/>
  <c r="AB64" i="5"/>
  <c r="Z64" i="5"/>
  <c r="O64" i="5"/>
  <c r="L64" i="5"/>
  <c r="K64" i="5"/>
  <c r="J64" i="5"/>
  <c r="BW63" i="5"/>
  <c r="BJ63" i="5"/>
  <c r="BF63" i="5"/>
  <c r="BD63" i="5"/>
  <c r="AX63" i="5"/>
  <c r="AW63" i="5"/>
  <c r="BC63" i="5" s="1"/>
  <c r="AV63" i="5"/>
  <c r="AP63" i="5"/>
  <c r="BI63" i="5" s="1"/>
  <c r="AC63" i="5" s="1"/>
  <c r="AO63" i="5"/>
  <c r="BH63" i="5" s="1"/>
  <c r="AK63" i="5"/>
  <c r="AJ63" i="5"/>
  <c r="AH63" i="5"/>
  <c r="AG63" i="5"/>
  <c r="AF63" i="5"/>
  <c r="AE63" i="5"/>
  <c r="AD63" i="5"/>
  <c r="AB63" i="5"/>
  <c r="Z63" i="5"/>
  <c r="O63" i="5"/>
  <c r="L63" i="5"/>
  <c r="K63" i="5"/>
  <c r="J63" i="5"/>
  <c r="AT62" i="5"/>
  <c r="AS62" i="5"/>
  <c r="O62" i="5"/>
  <c r="L62" i="5"/>
  <c r="K62" i="5"/>
  <c r="J62" i="5"/>
  <c r="BW61" i="5"/>
  <c r="BJ61" i="5"/>
  <c r="BF61" i="5"/>
  <c r="BD61" i="5"/>
  <c r="AX61" i="5"/>
  <c r="AW61" i="5"/>
  <c r="BC61" i="5" s="1"/>
  <c r="AV61" i="5"/>
  <c r="AP61" i="5"/>
  <c r="BI61" i="5" s="1"/>
  <c r="AO61" i="5"/>
  <c r="BH61" i="5" s="1"/>
  <c r="AK61" i="5"/>
  <c r="AJ61" i="5"/>
  <c r="AH61" i="5"/>
  <c r="AG61" i="5"/>
  <c r="AF61" i="5"/>
  <c r="AE61" i="5"/>
  <c r="AD61" i="5"/>
  <c r="AC61" i="5"/>
  <c r="AB61" i="5"/>
  <c r="Z61" i="5"/>
  <c r="O61" i="5"/>
  <c r="L61" i="5"/>
  <c r="AL61" i="5" s="1"/>
  <c r="K61" i="5"/>
  <c r="J61" i="5"/>
  <c r="BW60" i="5"/>
  <c r="BJ60" i="5"/>
  <c r="BF60" i="5"/>
  <c r="BD60" i="5"/>
  <c r="AX60" i="5"/>
  <c r="AW60" i="5"/>
  <c r="BC60" i="5" s="1"/>
  <c r="AP60" i="5"/>
  <c r="BI60" i="5" s="1"/>
  <c r="AO60" i="5"/>
  <c r="BH60" i="5" s="1"/>
  <c r="AB60" i="5" s="1"/>
  <c r="AL60" i="5"/>
  <c r="AK60" i="5"/>
  <c r="AJ60" i="5"/>
  <c r="AH60" i="5"/>
  <c r="AG60" i="5"/>
  <c r="AF60" i="5"/>
  <c r="AE60" i="5"/>
  <c r="AD60" i="5"/>
  <c r="AC60" i="5"/>
  <c r="Z60" i="5"/>
  <c r="O60" i="5"/>
  <c r="M60" i="5"/>
  <c r="L60" i="5"/>
  <c r="K60" i="5"/>
  <c r="J60" i="5"/>
  <c r="BW59" i="5"/>
  <c r="M59" i="5" s="1"/>
  <c r="BJ59" i="5"/>
  <c r="BF59" i="5"/>
  <c r="BD59" i="5"/>
  <c r="AX59" i="5"/>
  <c r="AW59" i="5"/>
  <c r="BC59" i="5" s="1"/>
  <c r="AP59" i="5"/>
  <c r="BI59" i="5" s="1"/>
  <c r="AC59" i="5" s="1"/>
  <c r="AO59" i="5"/>
  <c r="BH59" i="5" s="1"/>
  <c r="AB59" i="5" s="1"/>
  <c r="AK59" i="5"/>
  <c r="AJ59" i="5"/>
  <c r="AH59" i="5"/>
  <c r="AG59" i="5"/>
  <c r="AF59" i="5"/>
  <c r="AE59" i="5"/>
  <c r="AD59" i="5"/>
  <c r="Z59" i="5"/>
  <c r="O59" i="5"/>
  <c r="L59" i="5"/>
  <c r="AL59" i="5" s="1"/>
  <c r="K59" i="5"/>
  <c r="J59" i="5"/>
  <c r="BW58" i="5"/>
  <c r="BJ58" i="5"/>
  <c r="BF58" i="5"/>
  <c r="BD58" i="5"/>
  <c r="AX58" i="5"/>
  <c r="AW58" i="5"/>
  <c r="BC58" i="5" s="1"/>
  <c r="AV58" i="5"/>
  <c r="AP58" i="5"/>
  <c r="BI58" i="5" s="1"/>
  <c r="AC58" i="5" s="1"/>
  <c r="AO58" i="5"/>
  <c r="BH58" i="5" s="1"/>
  <c r="AK58" i="5"/>
  <c r="AJ58" i="5"/>
  <c r="AH58" i="5"/>
  <c r="AG58" i="5"/>
  <c r="AF58" i="5"/>
  <c r="AE58" i="5"/>
  <c r="AD58" i="5"/>
  <c r="AB58" i="5"/>
  <c r="Z58" i="5"/>
  <c r="O58" i="5"/>
  <c r="L58" i="5"/>
  <c r="AL58" i="5" s="1"/>
  <c r="K58" i="5"/>
  <c r="J58" i="5"/>
  <c r="BW57" i="5"/>
  <c r="BJ57" i="5"/>
  <c r="BF57" i="5"/>
  <c r="BD57" i="5"/>
  <c r="AX57" i="5"/>
  <c r="AW57" i="5"/>
  <c r="BC57" i="5" s="1"/>
  <c r="AV57" i="5"/>
  <c r="AP57" i="5"/>
  <c r="BI57" i="5" s="1"/>
  <c r="AO57" i="5"/>
  <c r="BH57" i="5" s="1"/>
  <c r="AK57" i="5"/>
  <c r="AT53" i="5" s="1"/>
  <c r="AJ57" i="5"/>
  <c r="AH57" i="5"/>
  <c r="AG57" i="5"/>
  <c r="AF57" i="5"/>
  <c r="AE57" i="5"/>
  <c r="AD57" i="5"/>
  <c r="AC57" i="5"/>
  <c r="AB57" i="5"/>
  <c r="Z57" i="5"/>
  <c r="O57" i="5"/>
  <c r="L57" i="5"/>
  <c r="AL57" i="5" s="1"/>
  <c r="K57" i="5"/>
  <c r="J57" i="5"/>
  <c r="BW56" i="5"/>
  <c r="BJ56" i="5"/>
  <c r="BF56" i="5"/>
  <c r="BD56" i="5"/>
  <c r="AX56" i="5"/>
  <c r="AW56" i="5"/>
  <c r="BC56" i="5" s="1"/>
  <c r="AP56" i="5"/>
  <c r="BI56" i="5" s="1"/>
  <c r="AO56" i="5"/>
  <c r="BH56" i="5" s="1"/>
  <c r="AB56" i="5" s="1"/>
  <c r="AL56" i="5"/>
  <c r="AK56" i="5"/>
  <c r="AJ56" i="5"/>
  <c r="AH56" i="5"/>
  <c r="AG56" i="5"/>
  <c r="AF56" i="5"/>
  <c r="AE56" i="5"/>
  <c r="AD56" i="5"/>
  <c r="AC56" i="5"/>
  <c r="Z56" i="5"/>
  <c r="O56" i="5"/>
  <c r="M56" i="5"/>
  <c r="L56" i="5"/>
  <c r="K56" i="5"/>
  <c r="J56" i="5"/>
  <c r="BW55" i="5"/>
  <c r="M55" i="5" s="1"/>
  <c r="BJ55" i="5"/>
  <c r="BF55" i="5"/>
  <c r="BD55" i="5"/>
  <c r="AX55" i="5"/>
  <c r="AW55" i="5"/>
  <c r="BC55" i="5" s="1"/>
  <c r="AP55" i="5"/>
  <c r="BI55" i="5" s="1"/>
  <c r="AC55" i="5" s="1"/>
  <c r="AO55" i="5"/>
  <c r="BH55" i="5" s="1"/>
  <c r="AB55" i="5" s="1"/>
  <c r="AK55" i="5"/>
  <c r="AJ55" i="5"/>
  <c r="AH55" i="5"/>
  <c r="AG55" i="5"/>
  <c r="AF55" i="5"/>
  <c r="AE55" i="5"/>
  <c r="AD55" i="5"/>
  <c r="Z55" i="5"/>
  <c r="O55" i="5"/>
  <c r="L55" i="5"/>
  <c r="AL55" i="5" s="1"/>
  <c r="K55" i="5"/>
  <c r="J55" i="5"/>
  <c r="BW54" i="5"/>
  <c r="BJ54" i="5"/>
  <c r="BF54" i="5"/>
  <c r="BD54" i="5"/>
  <c r="AX54" i="5"/>
  <c r="AW54" i="5"/>
  <c r="BC54" i="5" s="1"/>
  <c r="AV54" i="5"/>
  <c r="AP54" i="5"/>
  <c r="BI54" i="5" s="1"/>
  <c r="AC54" i="5" s="1"/>
  <c r="AO54" i="5"/>
  <c r="BH54" i="5" s="1"/>
  <c r="AK54" i="5"/>
  <c r="AJ54" i="5"/>
  <c r="AH54" i="5"/>
  <c r="AG54" i="5"/>
  <c r="AF54" i="5"/>
  <c r="AE54" i="5"/>
  <c r="AD54" i="5"/>
  <c r="AB54" i="5"/>
  <c r="Z54" i="5"/>
  <c r="O54" i="5"/>
  <c r="L54" i="5"/>
  <c r="AL54" i="5" s="1"/>
  <c r="AU53" i="5" s="1"/>
  <c r="K54" i="5"/>
  <c r="J54" i="5"/>
  <c r="AS53" i="5"/>
  <c r="O53" i="5"/>
  <c r="K53" i="5"/>
  <c r="J53" i="5"/>
  <c r="BW52" i="5"/>
  <c r="BJ52" i="5"/>
  <c r="BF52" i="5"/>
  <c r="BD52" i="5"/>
  <c r="AX52" i="5"/>
  <c r="AW52" i="5"/>
  <c r="BC52" i="5" s="1"/>
  <c r="AV52" i="5"/>
  <c r="AP52" i="5"/>
  <c r="BI52" i="5" s="1"/>
  <c r="AE52" i="5" s="1"/>
  <c r="AO52" i="5"/>
  <c r="BH52" i="5" s="1"/>
  <c r="AD52" i="5" s="1"/>
  <c r="AL52" i="5"/>
  <c r="AU51" i="5" s="1"/>
  <c r="AK52" i="5"/>
  <c r="AT51" i="5" s="1"/>
  <c r="AJ52" i="5"/>
  <c r="AH52" i="5"/>
  <c r="AG52" i="5"/>
  <c r="AF52" i="5"/>
  <c r="AC52" i="5"/>
  <c r="AB52" i="5"/>
  <c r="Z52" i="5"/>
  <c r="O52" i="5"/>
  <c r="L52" i="5"/>
  <c r="M52" i="5" s="1"/>
  <c r="M51" i="5" s="1"/>
  <c r="K52" i="5"/>
  <c r="J52" i="5"/>
  <c r="AS51" i="5"/>
  <c r="O51" i="5"/>
  <c r="L51" i="5"/>
  <c r="K51" i="5"/>
  <c r="J51" i="5"/>
  <c r="BW50" i="5"/>
  <c r="BJ50" i="5"/>
  <c r="BF50" i="5"/>
  <c r="BD50" i="5"/>
  <c r="AX50" i="5"/>
  <c r="AW50" i="5"/>
  <c r="BC50" i="5" s="1"/>
  <c r="AV50" i="5"/>
  <c r="AP50" i="5"/>
  <c r="BI50" i="5" s="1"/>
  <c r="AE50" i="5" s="1"/>
  <c r="AO50" i="5"/>
  <c r="BH50" i="5" s="1"/>
  <c r="AD50" i="5" s="1"/>
  <c r="AL50" i="5"/>
  <c r="AK50" i="5"/>
  <c r="AJ50" i="5"/>
  <c r="AH50" i="5"/>
  <c r="AG50" i="5"/>
  <c r="AF50" i="5"/>
  <c r="AC50" i="5"/>
  <c r="AB50" i="5"/>
  <c r="Z50" i="5"/>
  <c r="O50" i="5"/>
  <c r="M50" i="5"/>
  <c r="L50" i="5"/>
  <c r="K50" i="5"/>
  <c r="J50" i="5"/>
  <c r="BW49" i="5"/>
  <c r="BJ49" i="5"/>
  <c r="BF49" i="5"/>
  <c r="BD49" i="5"/>
  <c r="AX49" i="5"/>
  <c r="AW49" i="5"/>
  <c r="BC49" i="5" s="1"/>
  <c r="AV49" i="5"/>
  <c r="AP49" i="5"/>
  <c r="BI49" i="5" s="1"/>
  <c r="AE49" i="5" s="1"/>
  <c r="AO49" i="5"/>
  <c r="BH49" i="5" s="1"/>
  <c r="AD49" i="5" s="1"/>
  <c r="AK49" i="5"/>
  <c r="AJ49" i="5"/>
  <c r="AH49" i="5"/>
  <c r="AG49" i="5"/>
  <c r="AF49" i="5"/>
  <c r="AC49" i="5"/>
  <c r="AB49" i="5"/>
  <c r="Z49" i="5"/>
  <c r="O49" i="5"/>
  <c r="L49" i="5"/>
  <c r="AL49" i="5" s="1"/>
  <c r="AU48" i="5" s="1"/>
  <c r="K49" i="5"/>
  <c r="J49" i="5"/>
  <c r="AT48" i="5"/>
  <c r="AS48" i="5"/>
  <c r="O48" i="5"/>
  <c r="L48" i="5"/>
  <c r="K48" i="5"/>
  <c r="J48" i="5"/>
  <c r="BW47" i="5"/>
  <c r="BJ47" i="5"/>
  <c r="BF47" i="5"/>
  <c r="BD47" i="5"/>
  <c r="AX47" i="5"/>
  <c r="AW47" i="5"/>
  <c r="BC47" i="5" s="1"/>
  <c r="AP47" i="5"/>
  <c r="BI47" i="5" s="1"/>
  <c r="AE47" i="5" s="1"/>
  <c r="AO47" i="5"/>
  <c r="BH47" i="5" s="1"/>
  <c r="AD47" i="5" s="1"/>
  <c r="AL47" i="5"/>
  <c r="AK47" i="5"/>
  <c r="AJ47" i="5"/>
  <c r="AH47" i="5"/>
  <c r="AG47" i="5"/>
  <c r="AF47" i="5"/>
  <c r="AC47" i="5"/>
  <c r="AB47" i="5"/>
  <c r="Z47" i="5"/>
  <c r="O47" i="5"/>
  <c r="L47" i="5"/>
  <c r="M47" i="5" s="1"/>
  <c r="K47" i="5"/>
  <c r="J47" i="5"/>
  <c r="BW46" i="5"/>
  <c r="BJ46" i="5"/>
  <c r="BF46" i="5"/>
  <c r="BD46" i="5"/>
  <c r="AX46" i="5"/>
  <c r="AW46" i="5"/>
  <c r="BC46" i="5" s="1"/>
  <c r="AV46" i="5"/>
  <c r="AP46" i="5"/>
  <c r="BI46" i="5" s="1"/>
  <c r="AE46" i="5" s="1"/>
  <c r="AO46" i="5"/>
  <c r="BH46" i="5" s="1"/>
  <c r="AD46" i="5" s="1"/>
  <c r="AL46" i="5"/>
  <c r="AK46" i="5"/>
  <c r="AT42" i="5" s="1"/>
  <c r="AJ46" i="5"/>
  <c r="AH46" i="5"/>
  <c r="AG46" i="5"/>
  <c r="AF46" i="5"/>
  <c r="AC46" i="5"/>
  <c r="AB46" i="5"/>
  <c r="Z46" i="5"/>
  <c r="O46" i="5"/>
  <c r="L46" i="5"/>
  <c r="M46" i="5" s="1"/>
  <c r="K46" i="5"/>
  <c r="J46" i="5"/>
  <c r="BW45" i="5"/>
  <c r="BJ45" i="5"/>
  <c r="BF45" i="5"/>
  <c r="BD45" i="5"/>
  <c r="AX45" i="5"/>
  <c r="AW45" i="5"/>
  <c r="BC45" i="5" s="1"/>
  <c r="AV45" i="5"/>
  <c r="AP45" i="5"/>
  <c r="BI45" i="5" s="1"/>
  <c r="AE45" i="5" s="1"/>
  <c r="AO45" i="5"/>
  <c r="BH45" i="5" s="1"/>
  <c r="AD45" i="5" s="1"/>
  <c r="AL45" i="5"/>
  <c r="AK45" i="5"/>
  <c r="AJ45" i="5"/>
  <c r="AH45" i="5"/>
  <c r="AG45" i="5"/>
  <c r="AF45" i="5"/>
  <c r="AC45" i="5"/>
  <c r="AB45" i="5"/>
  <c r="Z45" i="5"/>
  <c r="O45" i="5"/>
  <c r="M45" i="5"/>
  <c r="L45" i="5"/>
  <c r="K45" i="5"/>
  <c r="J45" i="5"/>
  <c r="BW44" i="5"/>
  <c r="BJ44" i="5"/>
  <c r="BF44" i="5"/>
  <c r="BD44" i="5"/>
  <c r="AX44" i="5"/>
  <c r="AW44" i="5"/>
  <c r="BC44" i="5" s="1"/>
  <c r="AV44" i="5"/>
  <c r="AP44" i="5"/>
  <c r="BI44" i="5" s="1"/>
  <c r="AE44" i="5" s="1"/>
  <c r="AO44" i="5"/>
  <c r="BH44" i="5" s="1"/>
  <c r="AD44" i="5" s="1"/>
  <c r="AK44" i="5"/>
  <c r="AJ44" i="5"/>
  <c r="AH44" i="5"/>
  <c r="AG44" i="5"/>
  <c r="AF44" i="5"/>
  <c r="AC44" i="5"/>
  <c r="AB44" i="5"/>
  <c r="Z44" i="5"/>
  <c r="O44" i="5"/>
  <c r="L44" i="5"/>
  <c r="AL44" i="5" s="1"/>
  <c r="K44" i="5"/>
  <c r="J44" i="5"/>
  <c r="BW43" i="5"/>
  <c r="BJ43" i="5"/>
  <c r="BF43" i="5"/>
  <c r="BD43" i="5"/>
  <c r="AX43" i="5"/>
  <c r="AW43" i="5"/>
  <c r="BC43" i="5" s="1"/>
  <c r="AP43" i="5"/>
  <c r="BI43" i="5" s="1"/>
  <c r="AE43" i="5" s="1"/>
  <c r="AO43" i="5"/>
  <c r="BH43" i="5" s="1"/>
  <c r="AD43" i="5" s="1"/>
  <c r="AL43" i="5"/>
  <c r="AK43" i="5"/>
  <c r="AJ43" i="5"/>
  <c r="AH43" i="5"/>
  <c r="AG43" i="5"/>
  <c r="AF43" i="5"/>
  <c r="AC43" i="5"/>
  <c r="AB43" i="5"/>
  <c r="Z43" i="5"/>
  <c r="O43" i="5"/>
  <c r="L43" i="5"/>
  <c r="M43" i="5" s="1"/>
  <c r="K43" i="5"/>
  <c r="J43" i="5"/>
  <c r="AS42" i="5"/>
  <c r="O42" i="5"/>
  <c r="K42" i="5"/>
  <c r="J42" i="5"/>
  <c r="BW41" i="5"/>
  <c r="BJ41" i="5"/>
  <c r="BF41" i="5"/>
  <c r="BD41" i="5"/>
  <c r="AX41" i="5"/>
  <c r="AW41" i="5"/>
  <c r="BC41" i="5" s="1"/>
  <c r="AV41" i="5"/>
  <c r="AP41" i="5"/>
  <c r="BI41" i="5" s="1"/>
  <c r="AE41" i="5" s="1"/>
  <c r="AO41" i="5"/>
  <c r="BH41" i="5" s="1"/>
  <c r="AD41" i="5" s="1"/>
  <c r="AL41" i="5"/>
  <c r="AU40" i="5" s="1"/>
  <c r="AK41" i="5"/>
  <c r="AT40" i="5" s="1"/>
  <c r="AJ41" i="5"/>
  <c r="AH41" i="5"/>
  <c r="AG41" i="5"/>
  <c r="AF41" i="5"/>
  <c r="AC41" i="5"/>
  <c r="AB41" i="5"/>
  <c r="Z41" i="5"/>
  <c r="O41" i="5"/>
  <c r="L41" i="5"/>
  <c r="M41" i="5" s="1"/>
  <c r="M40" i="5" s="1"/>
  <c r="K41" i="5"/>
  <c r="J41" i="5"/>
  <c r="AS40" i="5"/>
  <c r="O40" i="5"/>
  <c r="L40" i="5"/>
  <c r="K40" i="5"/>
  <c r="J40" i="5"/>
  <c r="BW39" i="5"/>
  <c r="BJ39" i="5"/>
  <c r="BF39" i="5"/>
  <c r="BD39" i="5"/>
  <c r="AX39" i="5"/>
  <c r="AW39" i="5"/>
  <c r="BC39" i="5" s="1"/>
  <c r="AV39" i="5"/>
  <c r="AP39" i="5"/>
  <c r="BI39" i="5" s="1"/>
  <c r="AE39" i="5" s="1"/>
  <c r="AO39" i="5"/>
  <c r="BH39" i="5" s="1"/>
  <c r="AD39" i="5" s="1"/>
  <c r="AL39" i="5"/>
  <c r="AK39" i="5"/>
  <c r="AJ39" i="5"/>
  <c r="AH39" i="5"/>
  <c r="AG39" i="5"/>
  <c r="AF39" i="5"/>
  <c r="AC39" i="5"/>
  <c r="AB39" i="5"/>
  <c r="Z39" i="5"/>
  <c r="O39" i="5"/>
  <c r="M39" i="5"/>
  <c r="L39" i="5"/>
  <c r="K39" i="5"/>
  <c r="J39" i="5"/>
  <c r="BW38" i="5"/>
  <c r="BJ38" i="5"/>
  <c r="BF38" i="5"/>
  <c r="BD38" i="5"/>
  <c r="AX38" i="5"/>
  <c r="AW38" i="5"/>
  <c r="BC38" i="5" s="1"/>
  <c r="AV38" i="5"/>
  <c r="AP38" i="5"/>
  <c r="BI38" i="5" s="1"/>
  <c r="AE38" i="5" s="1"/>
  <c r="AO38" i="5"/>
  <c r="BH38" i="5" s="1"/>
  <c r="AD38" i="5" s="1"/>
  <c r="AK38" i="5"/>
  <c r="AJ38" i="5"/>
  <c r="AH38" i="5"/>
  <c r="AG38" i="5"/>
  <c r="AF38" i="5"/>
  <c r="AC38" i="5"/>
  <c r="AB38" i="5"/>
  <c r="Z38" i="5"/>
  <c r="O38" i="5"/>
  <c r="L38" i="5"/>
  <c r="AL38" i="5" s="1"/>
  <c r="AU37" i="5" s="1"/>
  <c r="K38" i="5"/>
  <c r="J38" i="5"/>
  <c r="AT37" i="5"/>
  <c r="AS37" i="5"/>
  <c r="O37" i="5"/>
  <c r="L37" i="5"/>
  <c r="K37" i="5"/>
  <c r="J37" i="5"/>
  <c r="BW36" i="5"/>
  <c r="BJ36" i="5"/>
  <c r="BF36" i="5"/>
  <c r="BD36" i="5"/>
  <c r="AX36" i="5"/>
  <c r="AW36" i="5"/>
  <c r="BC36" i="5" s="1"/>
  <c r="AP36" i="5"/>
  <c r="BI36" i="5" s="1"/>
  <c r="AE36" i="5" s="1"/>
  <c r="AO36" i="5"/>
  <c r="BH36" i="5" s="1"/>
  <c r="AD36" i="5" s="1"/>
  <c r="AL36" i="5"/>
  <c r="AU35" i="5" s="1"/>
  <c r="AK36" i="5"/>
  <c r="AJ36" i="5"/>
  <c r="AH36" i="5"/>
  <c r="AG36" i="5"/>
  <c r="AF36" i="5"/>
  <c r="AC36" i="5"/>
  <c r="AB36" i="5"/>
  <c r="Z36" i="5"/>
  <c r="O36" i="5"/>
  <c r="L36" i="5"/>
  <c r="M36" i="5" s="1"/>
  <c r="M35" i="5" s="1"/>
  <c r="K36" i="5"/>
  <c r="J36" i="5"/>
  <c r="AT35" i="5"/>
  <c r="AS35" i="5"/>
  <c r="O35" i="5"/>
  <c r="L35" i="5"/>
  <c r="K35" i="5"/>
  <c r="J35" i="5"/>
  <c r="BW34" i="5"/>
  <c r="BJ34" i="5"/>
  <c r="BF34" i="5"/>
  <c r="BD34" i="5"/>
  <c r="AX34" i="5"/>
  <c r="AW34" i="5"/>
  <c r="BC34" i="5" s="1"/>
  <c r="AV34" i="5"/>
  <c r="AP34" i="5"/>
  <c r="BI34" i="5" s="1"/>
  <c r="AE34" i="5" s="1"/>
  <c r="AO34" i="5"/>
  <c r="BH34" i="5" s="1"/>
  <c r="AD34" i="5" s="1"/>
  <c r="AL34" i="5"/>
  <c r="AK34" i="5"/>
  <c r="AJ34" i="5"/>
  <c r="AH34" i="5"/>
  <c r="AG34" i="5"/>
  <c r="AF34" i="5"/>
  <c r="AC34" i="5"/>
  <c r="AB34" i="5"/>
  <c r="Z34" i="5"/>
  <c r="O34" i="5"/>
  <c r="L34" i="5"/>
  <c r="M34" i="5" s="1"/>
  <c r="M32" i="5" s="1"/>
  <c r="K34" i="5"/>
  <c r="J34" i="5"/>
  <c r="BW33" i="5"/>
  <c r="BJ33" i="5"/>
  <c r="BF33" i="5"/>
  <c r="BD33" i="5"/>
  <c r="AX33" i="5"/>
  <c r="AW33" i="5"/>
  <c r="BC33" i="5" s="1"/>
  <c r="AV33" i="5"/>
  <c r="AP33" i="5"/>
  <c r="BI33" i="5" s="1"/>
  <c r="AE33" i="5" s="1"/>
  <c r="AO33" i="5"/>
  <c r="BH33" i="5" s="1"/>
  <c r="AD33" i="5" s="1"/>
  <c r="AL33" i="5"/>
  <c r="AK33" i="5"/>
  <c r="AT32" i="5" s="1"/>
  <c r="AJ33" i="5"/>
  <c r="AH33" i="5"/>
  <c r="AG33" i="5"/>
  <c r="AF33" i="5"/>
  <c r="AC33" i="5"/>
  <c r="AB33" i="5"/>
  <c r="Z33" i="5"/>
  <c r="O33" i="5"/>
  <c r="M33" i="5"/>
  <c r="L33" i="5"/>
  <c r="K33" i="5"/>
  <c r="J33" i="5"/>
  <c r="AU32" i="5"/>
  <c r="AS32" i="5"/>
  <c r="O32" i="5"/>
  <c r="K32" i="5"/>
  <c r="J32" i="5"/>
  <c r="BW31" i="5"/>
  <c r="BJ31" i="5"/>
  <c r="BF31" i="5"/>
  <c r="BD31" i="5"/>
  <c r="AX31" i="5"/>
  <c r="AW31" i="5"/>
  <c r="BC31" i="5" s="1"/>
  <c r="AV31" i="5"/>
  <c r="AP31" i="5"/>
  <c r="BI31" i="5" s="1"/>
  <c r="AE31" i="5" s="1"/>
  <c r="AO31" i="5"/>
  <c r="BH31" i="5" s="1"/>
  <c r="AD31" i="5" s="1"/>
  <c r="AK31" i="5"/>
  <c r="AJ31" i="5"/>
  <c r="AH31" i="5"/>
  <c r="AG31" i="5"/>
  <c r="AF31" i="5"/>
  <c r="AC31" i="5"/>
  <c r="AB31" i="5"/>
  <c r="Z31" i="5"/>
  <c r="O31" i="5"/>
  <c r="L31" i="5"/>
  <c r="AL31" i="5" s="1"/>
  <c r="K31" i="5"/>
  <c r="J31" i="5"/>
  <c r="BW30" i="5"/>
  <c r="BJ30" i="5"/>
  <c r="BF30" i="5"/>
  <c r="BD30" i="5"/>
  <c r="AX30" i="5"/>
  <c r="AW30" i="5"/>
  <c r="BC30" i="5" s="1"/>
  <c r="AP30" i="5"/>
  <c r="BI30" i="5" s="1"/>
  <c r="AE30" i="5" s="1"/>
  <c r="AO30" i="5"/>
  <c r="BH30" i="5" s="1"/>
  <c r="AD30" i="5" s="1"/>
  <c r="AL30" i="5"/>
  <c r="AK30" i="5"/>
  <c r="AJ30" i="5"/>
  <c r="AH30" i="5"/>
  <c r="AG30" i="5"/>
  <c r="AF30" i="5"/>
  <c r="AC30" i="5"/>
  <c r="AB30" i="5"/>
  <c r="Z30" i="5"/>
  <c r="O30" i="5"/>
  <c r="L30" i="5"/>
  <c r="M30" i="5" s="1"/>
  <c r="K30" i="5"/>
  <c r="J30" i="5"/>
  <c r="BW29" i="5"/>
  <c r="BJ29" i="5"/>
  <c r="BF29" i="5"/>
  <c r="BD29" i="5"/>
  <c r="AX29" i="5"/>
  <c r="AW29" i="5"/>
  <c r="BC29" i="5" s="1"/>
  <c r="AV29" i="5"/>
  <c r="AP29" i="5"/>
  <c r="BI29" i="5" s="1"/>
  <c r="AE29" i="5" s="1"/>
  <c r="AO29" i="5"/>
  <c r="BH29" i="5" s="1"/>
  <c r="AD29" i="5" s="1"/>
  <c r="AL29" i="5"/>
  <c r="AK29" i="5"/>
  <c r="AT25" i="5" s="1"/>
  <c r="AJ29" i="5"/>
  <c r="AH29" i="5"/>
  <c r="AG29" i="5"/>
  <c r="AF29" i="5"/>
  <c r="AC29" i="5"/>
  <c r="AB29" i="5"/>
  <c r="Z29" i="5"/>
  <c r="O29" i="5"/>
  <c r="L29" i="5"/>
  <c r="M29" i="5" s="1"/>
  <c r="K29" i="5"/>
  <c r="J29" i="5"/>
  <c r="BW28" i="5"/>
  <c r="BJ28" i="5"/>
  <c r="BF28" i="5"/>
  <c r="BD28" i="5"/>
  <c r="AX28" i="5"/>
  <c r="AW28" i="5"/>
  <c r="BC28" i="5" s="1"/>
  <c r="AV28" i="5"/>
  <c r="AP28" i="5"/>
  <c r="BI28" i="5" s="1"/>
  <c r="AE28" i="5" s="1"/>
  <c r="AO28" i="5"/>
  <c r="BH28" i="5" s="1"/>
  <c r="AD28" i="5" s="1"/>
  <c r="AL28" i="5"/>
  <c r="AK28" i="5"/>
  <c r="AJ28" i="5"/>
  <c r="AH28" i="5"/>
  <c r="AG28" i="5"/>
  <c r="AF28" i="5"/>
  <c r="AC28" i="5"/>
  <c r="AB28" i="5"/>
  <c r="Z28" i="5"/>
  <c r="O28" i="5"/>
  <c r="M28" i="5"/>
  <c r="L28" i="5"/>
  <c r="K28" i="5"/>
  <c r="J28" i="5"/>
  <c r="BW27" i="5"/>
  <c r="BJ27" i="5"/>
  <c r="BF27" i="5"/>
  <c r="BD27" i="5"/>
  <c r="AX27" i="5"/>
  <c r="AW27" i="5"/>
  <c r="BC27" i="5" s="1"/>
  <c r="AV27" i="5"/>
  <c r="AP27" i="5"/>
  <c r="BI27" i="5" s="1"/>
  <c r="AE27" i="5" s="1"/>
  <c r="AO27" i="5"/>
  <c r="BH27" i="5" s="1"/>
  <c r="AD27" i="5" s="1"/>
  <c r="AK27" i="5"/>
  <c r="AJ27" i="5"/>
  <c r="AH27" i="5"/>
  <c r="AG27" i="5"/>
  <c r="AF27" i="5"/>
  <c r="AC27" i="5"/>
  <c r="AB27" i="5"/>
  <c r="Z27" i="5"/>
  <c r="O27" i="5"/>
  <c r="L27" i="5"/>
  <c r="AL27" i="5" s="1"/>
  <c r="K27" i="5"/>
  <c r="J27" i="5"/>
  <c r="BW26" i="5"/>
  <c r="BJ26" i="5"/>
  <c r="BF26" i="5"/>
  <c r="BD26" i="5"/>
  <c r="AX26" i="5"/>
  <c r="AW26" i="5"/>
  <c r="BC26" i="5" s="1"/>
  <c r="AP26" i="5"/>
  <c r="BI26" i="5" s="1"/>
  <c r="AE26" i="5" s="1"/>
  <c r="AO26" i="5"/>
  <c r="BH26" i="5" s="1"/>
  <c r="AD26" i="5" s="1"/>
  <c r="AL26" i="5"/>
  <c r="AK26" i="5"/>
  <c r="AJ26" i="5"/>
  <c r="AH26" i="5"/>
  <c r="AG26" i="5"/>
  <c r="AF26" i="5"/>
  <c r="AC26" i="5"/>
  <c r="AB26" i="5"/>
  <c r="Z26" i="5"/>
  <c r="O26" i="5"/>
  <c r="L26" i="5"/>
  <c r="M26" i="5" s="1"/>
  <c r="K26" i="5"/>
  <c r="J26" i="5"/>
  <c r="AS25" i="5"/>
  <c r="O25" i="5"/>
  <c r="K25" i="5"/>
  <c r="J25" i="5"/>
  <c r="BW24" i="5"/>
  <c r="BJ24" i="5"/>
  <c r="BF24" i="5"/>
  <c r="BD24" i="5"/>
  <c r="AX24" i="5"/>
  <c r="AW24" i="5"/>
  <c r="BC24" i="5" s="1"/>
  <c r="AV24" i="5"/>
  <c r="AP24" i="5"/>
  <c r="BI24" i="5" s="1"/>
  <c r="AE24" i="5" s="1"/>
  <c r="AO24" i="5"/>
  <c r="BH24" i="5" s="1"/>
  <c r="AD24" i="5" s="1"/>
  <c r="AL24" i="5"/>
  <c r="AK24" i="5"/>
  <c r="AJ24" i="5"/>
  <c r="AH24" i="5"/>
  <c r="AG24" i="5"/>
  <c r="AF24" i="5"/>
  <c r="AC24" i="5"/>
  <c r="AB24" i="5"/>
  <c r="Z24" i="5"/>
  <c r="O24" i="5"/>
  <c r="L24" i="5"/>
  <c r="M24" i="5" s="1"/>
  <c r="M22" i="5" s="1"/>
  <c r="K24" i="5"/>
  <c r="J24" i="5"/>
  <c r="BW23" i="5"/>
  <c r="BJ23" i="5"/>
  <c r="BF23" i="5"/>
  <c r="BD23" i="5"/>
  <c r="AX23" i="5"/>
  <c r="AW23" i="5"/>
  <c r="BC23" i="5" s="1"/>
  <c r="AV23" i="5"/>
  <c r="AP23" i="5"/>
  <c r="BI23" i="5" s="1"/>
  <c r="AE23" i="5" s="1"/>
  <c r="AO23" i="5"/>
  <c r="BH23" i="5" s="1"/>
  <c r="AD23" i="5" s="1"/>
  <c r="AL23" i="5"/>
  <c r="AK23" i="5"/>
  <c r="AT22" i="5" s="1"/>
  <c r="AJ23" i="5"/>
  <c r="AH23" i="5"/>
  <c r="AG23" i="5"/>
  <c r="AF23" i="5"/>
  <c r="AC23" i="5"/>
  <c r="AB23" i="5"/>
  <c r="Z23" i="5"/>
  <c r="O23" i="5"/>
  <c r="M23" i="5"/>
  <c r="L23" i="5"/>
  <c r="K23" i="5"/>
  <c r="J23" i="5"/>
  <c r="J22" i="5" s="1"/>
  <c r="AU22" i="5"/>
  <c r="AS22" i="5"/>
  <c r="O22" i="5"/>
  <c r="K22" i="5"/>
  <c r="BW21" i="5"/>
  <c r="BJ21" i="5"/>
  <c r="BF21" i="5"/>
  <c r="BD21" i="5"/>
  <c r="AX21" i="5"/>
  <c r="AW21" i="5"/>
  <c r="BC21" i="5" s="1"/>
  <c r="AP21" i="5"/>
  <c r="BI21" i="5" s="1"/>
  <c r="AE21" i="5" s="1"/>
  <c r="AO21" i="5"/>
  <c r="BH21" i="5" s="1"/>
  <c r="AD21" i="5" s="1"/>
  <c r="AL21" i="5"/>
  <c r="AK21" i="5"/>
  <c r="AJ21" i="5"/>
  <c r="AH21" i="5"/>
  <c r="AG21" i="5"/>
  <c r="AF21" i="5"/>
  <c r="AC21" i="5"/>
  <c r="AB21" i="5"/>
  <c r="Z21" i="5"/>
  <c r="O21" i="5"/>
  <c r="L21" i="5"/>
  <c r="M21" i="5" s="1"/>
  <c r="K21" i="5"/>
  <c r="J21" i="5"/>
  <c r="BW20" i="5"/>
  <c r="BJ20" i="5"/>
  <c r="BF20" i="5"/>
  <c r="BD20" i="5"/>
  <c r="AX20" i="5"/>
  <c r="AW20" i="5"/>
  <c r="BC20" i="5" s="1"/>
  <c r="AV20" i="5"/>
  <c r="AP20" i="5"/>
  <c r="BI20" i="5" s="1"/>
  <c r="AE20" i="5" s="1"/>
  <c r="AO20" i="5"/>
  <c r="BH20" i="5" s="1"/>
  <c r="AD20" i="5" s="1"/>
  <c r="AL20" i="5"/>
  <c r="AK20" i="5"/>
  <c r="AJ20" i="5"/>
  <c r="AH20" i="5"/>
  <c r="AG20" i="5"/>
  <c r="AF20" i="5"/>
  <c r="AC20" i="5"/>
  <c r="AB20" i="5"/>
  <c r="Z20" i="5"/>
  <c r="O20" i="5"/>
  <c r="L20" i="5"/>
  <c r="M20" i="5" s="1"/>
  <c r="M18" i="5" s="1"/>
  <c r="K20" i="5"/>
  <c r="J20" i="5"/>
  <c r="BW19" i="5"/>
  <c r="BJ19" i="5"/>
  <c r="BF19" i="5"/>
  <c r="BD19" i="5"/>
  <c r="AX19" i="5"/>
  <c r="AW19" i="5"/>
  <c r="BC19" i="5" s="1"/>
  <c r="AV19" i="5"/>
  <c r="AP19" i="5"/>
  <c r="BI19" i="5" s="1"/>
  <c r="AE19" i="5" s="1"/>
  <c r="AO19" i="5"/>
  <c r="BH19" i="5" s="1"/>
  <c r="AD19" i="5" s="1"/>
  <c r="AL19" i="5"/>
  <c r="AK19" i="5"/>
  <c r="AT18" i="5" s="1"/>
  <c r="AJ19" i="5"/>
  <c r="AH19" i="5"/>
  <c r="AG19" i="5"/>
  <c r="AF19" i="5"/>
  <c r="AC19" i="5"/>
  <c r="AB19" i="5"/>
  <c r="Z19" i="5"/>
  <c r="O19" i="5"/>
  <c r="M19" i="5"/>
  <c r="L19" i="5"/>
  <c r="K19" i="5"/>
  <c r="J19" i="5"/>
  <c r="AU18" i="5"/>
  <c r="AS18" i="5"/>
  <c r="O18" i="5"/>
  <c r="K18" i="5"/>
  <c r="J18" i="5"/>
  <c r="BW17" i="5"/>
  <c r="BJ17" i="5"/>
  <c r="BF17" i="5"/>
  <c r="BD17" i="5"/>
  <c r="AX17" i="5"/>
  <c r="AW17" i="5"/>
  <c r="BC17" i="5" s="1"/>
  <c r="AV17" i="5"/>
  <c r="AP17" i="5"/>
  <c r="BI17" i="5" s="1"/>
  <c r="AE17" i="5" s="1"/>
  <c r="AO17" i="5"/>
  <c r="BH17" i="5" s="1"/>
  <c r="AD17" i="5" s="1"/>
  <c r="C16" i="2" s="1"/>
  <c r="AK17" i="5"/>
  <c r="AJ17" i="5"/>
  <c r="AH17" i="5"/>
  <c r="AG17" i="5"/>
  <c r="AF17" i="5"/>
  <c r="AC17" i="5"/>
  <c r="AB17" i="5"/>
  <c r="Z17" i="5"/>
  <c r="O17" i="5"/>
  <c r="L17" i="5"/>
  <c r="AL17" i="5" s="1"/>
  <c r="AU16" i="5" s="1"/>
  <c r="K17" i="5"/>
  <c r="J17" i="5"/>
  <c r="AT16" i="5"/>
  <c r="AS16" i="5"/>
  <c r="O16" i="5"/>
  <c r="L16" i="5"/>
  <c r="K16" i="5"/>
  <c r="J16" i="5"/>
  <c r="BW15" i="5"/>
  <c r="BJ15" i="5"/>
  <c r="BF15" i="5"/>
  <c r="BD15" i="5"/>
  <c r="AX15" i="5"/>
  <c r="AW15" i="5"/>
  <c r="BC15" i="5" s="1"/>
  <c r="AP15" i="5"/>
  <c r="BI15" i="5" s="1"/>
  <c r="AE15" i="5" s="1"/>
  <c r="AO15" i="5"/>
  <c r="BH15" i="5" s="1"/>
  <c r="AD15" i="5" s="1"/>
  <c r="AL15" i="5"/>
  <c r="AK15" i="5"/>
  <c r="AJ15" i="5"/>
  <c r="AH15" i="5"/>
  <c r="AG15" i="5"/>
  <c r="AF15" i="5"/>
  <c r="AC15" i="5"/>
  <c r="AB15" i="5"/>
  <c r="Z15" i="5"/>
  <c r="O15" i="5"/>
  <c r="L15" i="5"/>
  <c r="M15" i="5" s="1"/>
  <c r="K15" i="5"/>
  <c r="J15" i="5"/>
  <c r="BW14" i="5"/>
  <c r="BJ14" i="5"/>
  <c r="BF14" i="5"/>
  <c r="BD14" i="5"/>
  <c r="AX14" i="5"/>
  <c r="AW14" i="5"/>
  <c r="BC14" i="5" s="1"/>
  <c r="AV14" i="5"/>
  <c r="AP14" i="5"/>
  <c r="BI14" i="5" s="1"/>
  <c r="AE14" i="5" s="1"/>
  <c r="AO14" i="5"/>
  <c r="BH14" i="5" s="1"/>
  <c r="AD14" i="5" s="1"/>
  <c r="AL14" i="5"/>
  <c r="AU13" i="5" s="1"/>
  <c r="AK14" i="5"/>
  <c r="AT13" i="5" s="1"/>
  <c r="AJ14" i="5"/>
  <c r="AH14" i="5"/>
  <c r="AG14" i="5"/>
  <c r="AF14" i="5"/>
  <c r="AC14" i="5"/>
  <c r="AB14" i="5"/>
  <c r="Z14" i="5"/>
  <c r="O14" i="5"/>
  <c r="O13" i="5" s="1"/>
  <c r="L14" i="5"/>
  <c r="M14" i="5" s="1"/>
  <c r="K14" i="5"/>
  <c r="J14" i="5"/>
  <c r="AS13" i="5"/>
  <c r="K13" i="5"/>
  <c r="J13" i="5"/>
  <c r="AU1" i="5"/>
  <c r="AT1" i="5"/>
  <c r="AS1" i="5"/>
  <c r="N16" i="4"/>
  <c r="L16" i="4"/>
  <c r="I16" i="4"/>
  <c r="N15" i="4"/>
  <c r="N14" i="4"/>
  <c r="L14" i="4"/>
  <c r="I14" i="4"/>
  <c r="N13" i="4"/>
  <c r="N12" i="4"/>
  <c r="J8" i="4"/>
  <c r="H8" i="4"/>
  <c r="D8" i="4"/>
  <c r="J6" i="4"/>
  <c r="H6" i="4"/>
  <c r="D6" i="4"/>
  <c r="J4" i="4"/>
  <c r="H4" i="4"/>
  <c r="D4" i="4"/>
  <c r="J2" i="4"/>
  <c r="H2" i="4"/>
  <c r="D2" i="4"/>
  <c r="I35" i="3"/>
  <c r="I36" i="3" s="1"/>
  <c r="I26" i="3"/>
  <c r="I25" i="3"/>
  <c r="I18" i="2" s="1"/>
  <c r="I24" i="3"/>
  <c r="I23" i="3"/>
  <c r="I22" i="3"/>
  <c r="I21" i="3"/>
  <c r="I27" i="3" s="1"/>
  <c r="I17" i="3"/>
  <c r="I16" i="3"/>
  <c r="F15" i="2" s="1"/>
  <c r="I15" i="3"/>
  <c r="I18" i="3" s="1"/>
  <c r="F29" i="3" s="1"/>
  <c r="I10" i="3"/>
  <c r="F10" i="3"/>
  <c r="C10" i="3"/>
  <c r="F8" i="3"/>
  <c r="C8" i="3"/>
  <c r="F6" i="3"/>
  <c r="C6" i="3"/>
  <c r="F4" i="3"/>
  <c r="C4" i="3"/>
  <c r="F2" i="3"/>
  <c r="C2" i="3"/>
  <c r="I25" i="2"/>
  <c r="I24" i="2"/>
  <c r="I19" i="2"/>
  <c r="I17" i="2"/>
  <c r="C17" i="2"/>
  <c r="I16" i="2"/>
  <c r="F16" i="2"/>
  <c r="I15" i="2"/>
  <c r="I10" i="2"/>
  <c r="F10" i="2"/>
  <c r="C10" i="2"/>
  <c r="F8" i="2"/>
  <c r="C8" i="2"/>
  <c r="F6" i="2"/>
  <c r="C6" i="2"/>
  <c r="F4" i="2"/>
  <c r="C4" i="2"/>
  <c r="F2" i="2"/>
  <c r="C2" i="2"/>
  <c r="I10" i="1"/>
  <c r="A20" i="1" s="1"/>
  <c r="F10" i="1"/>
  <c r="C10" i="1"/>
  <c r="F8" i="1"/>
  <c r="C8" i="1"/>
  <c r="F6" i="1"/>
  <c r="C6" i="1"/>
  <c r="F4" i="1"/>
  <c r="C4" i="1"/>
  <c r="F2" i="1"/>
  <c r="C2" i="1"/>
  <c r="AU42" i="5" l="1"/>
  <c r="M13" i="5"/>
  <c r="AU25" i="5"/>
  <c r="BH96" i="5"/>
  <c r="AW96" i="5"/>
  <c r="BH104" i="5"/>
  <c r="AW104" i="5"/>
  <c r="BH132" i="5"/>
  <c r="AW132" i="5"/>
  <c r="J132" i="5"/>
  <c r="J130" i="5" s="1"/>
  <c r="J116" i="5" s="1"/>
  <c r="I13" i="4" s="1"/>
  <c r="AV137" i="5"/>
  <c r="BC137" i="5"/>
  <c r="AX151" i="5"/>
  <c r="AV151" i="5" s="1"/>
  <c r="BI151" i="5"/>
  <c r="AC151" i="5" s="1"/>
  <c r="BH31" i="10"/>
  <c r="AD31" i="10" s="1"/>
  <c r="AX31" i="10"/>
  <c r="O31" i="10"/>
  <c r="BF31" i="10" s="1"/>
  <c r="K31" i="10"/>
  <c r="BJ31" i="10"/>
  <c r="J31" i="10"/>
  <c r="BI31" i="10"/>
  <c r="AE31" i="10" s="1"/>
  <c r="AW31" i="10"/>
  <c r="L31" i="10"/>
  <c r="AW39" i="10"/>
  <c r="J39" i="10"/>
  <c r="BH39" i="10"/>
  <c r="AD39" i="10" s="1"/>
  <c r="C28" i="2"/>
  <c r="F28" i="2" s="1"/>
  <c r="L25" i="5"/>
  <c r="M27" i="5"/>
  <c r="M25" i="5" s="1"/>
  <c r="M31" i="5"/>
  <c r="M38" i="5"/>
  <c r="M37" i="5" s="1"/>
  <c r="L42" i="5"/>
  <c r="M44" i="5"/>
  <c r="M42" i="5" s="1"/>
  <c r="M49" i="5"/>
  <c r="M48" i="5" s="1"/>
  <c r="L53" i="5"/>
  <c r="M57" i="5"/>
  <c r="M61" i="5"/>
  <c r="AL63" i="5"/>
  <c r="M63" i="5"/>
  <c r="M65" i="5"/>
  <c r="AL65" i="5"/>
  <c r="AL67" i="5"/>
  <c r="M67" i="5"/>
  <c r="AL69" i="5"/>
  <c r="M69" i="5"/>
  <c r="M71" i="5"/>
  <c r="AL71" i="5"/>
  <c r="M73" i="5"/>
  <c r="AL73" i="5"/>
  <c r="M75" i="5"/>
  <c r="AL75" i="5"/>
  <c r="AL77" i="5"/>
  <c r="M77" i="5"/>
  <c r="AL79" i="5"/>
  <c r="M79" i="5"/>
  <c r="AL81" i="5"/>
  <c r="M81" i="5"/>
  <c r="M83" i="5"/>
  <c r="AL83" i="5"/>
  <c r="AL87" i="5"/>
  <c r="M87" i="5"/>
  <c r="O89" i="5"/>
  <c r="BF92" i="5"/>
  <c r="AV94" i="5"/>
  <c r="BC94" i="5"/>
  <c r="AV95" i="5"/>
  <c r="BC95" i="5"/>
  <c r="J96" i="5"/>
  <c r="J93" i="5" s="1"/>
  <c r="BI101" i="5"/>
  <c r="AX101" i="5"/>
  <c r="AV102" i="5"/>
  <c r="BC102" i="5"/>
  <c r="AV103" i="5"/>
  <c r="BC103" i="5"/>
  <c r="J104" i="5"/>
  <c r="BI109" i="5"/>
  <c r="AX109" i="5"/>
  <c r="AV110" i="5"/>
  <c r="BC110" i="5"/>
  <c r="AV111" i="5"/>
  <c r="BC111" i="5"/>
  <c r="BH121" i="5"/>
  <c r="AB121" i="5" s="1"/>
  <c r="AW121" i="5"/>
  <c r="AL123" i="5"/>
  <c r="AU122" i="5" s="1"/>
  <c r="M123" i="5"/>
  <c r="BH127" i="5"/>
  <c r="AB127" i="5" s="1"/>
  <c r="AW127" i="5"/>
  <c r="BC133" i="5"/>
  <c r="AV133" i="5"/>
  <c r="BC141" i="5"/>
  <c r="AV147" i="5"/>
  <c r="BC147" i="5"/>
  <c r="AX148" i="5"/>
  <c r="AV148" i="5" s="1"/>
  <c r="BI148" i="5"/>
  <c r="AC148" i="5" s="1"/>
  <c r="BC151" i="5"/>
  <c r="AL159" i="5"/>
  <c r="M159" i="5"/>
  <c r="L158" i="5"/>
  <c r="AX159" i="5"/>
  <c r="K159" i="5"/>
  <c r="K158" i="5" s="1"/>
  <c r="BI159" i="5"/>
  <c r="AC159" i="5" s="1"/>
  <c r="AX166" i="5"/>
  <c r="BI166" i="5"/>
  <c r="K166" i="5"/>
  <c r="AX167" i="5"/>
  <c r="BI167" i="5"/>
  <c r="K167" i="5"/>
  <c r="AX168" i="5"/>
  <c r="BI168" i="5"/>
  <c r="K168" i="5"/>
  <c r="AX171" i="5"/>
  <c r="BC171" i="5" s="1"/>
  <c r="BI171" i="5"/>
  <c r="AG171" i="5" s="1"/>
  <c r="AV192" i="5"/>
  <c r="BC192" i="5"/>
  <c r="AV202" i="5"/>
  <c r="BC202" i="5"/>
  <c r="BI207" i="5"/>
  <c r="F15" i="8"/>
  <c r="F22" i="8" s="1"/>
  <c r="I18" i="9"/>
  <c r="BC20" i="10"/>
  <c r="AV20" i="10"/>
  <c r="BH55" i="10"/>
  <c r="AB55" i="10" s="1"/>
  <c r="AX55" i="10"/>
  <c r="O55" i="10"/>
  <c r="BF55" i="10" s="1"/>
  <c r="K55" i="10"/>
  <c r="BJ55" i="10"/>
  <c r="BI55" i="10"/>
  <c r="AC55" i="10" s="1"/>
  <c r="L55" i="10"/>
  <c r="J55" i="10"/>
  <c r="AW55" i="10"/>
  <c r="AL78" i="10"/>
  <c r="M78" i="10"/>
  <c r="BF127" i="5"/>
  <c r="O125" i="5"/>
  <c r="AV150" i="5"/>
  <c r="BC150" i="5"/>
  <c r="AX181" i="5"/>
  <c r="K181" i="5"/>
  <c r="K180" i="5" s="1"/>
  <c r="BI181" i="5"/>
  <c r="AC181" i="5" s="1"/>
  <c r="BJ61" i="10"/>
  <c r="BH61" i="10"/>
  <c r="AB61" i="10" s="1"/>
  <c r="AX61" i="10"/>
  <c r="O61" i="10"/>
  <c r="BF61" i="10" s="1"/>
  <c r="K61" i="10"/>
  <c r="J61" i="10"/>
  <c r="BI61" i="10"/>
  <c r="AC61" i="10" s="1"/>
  <c r="L61" i="10"/>
  <c r="AW61" i="10"/>
  <c r="M17" i="5"/>
  <c r="M16" i="5" s="1"/>
  <c r="F14" i="2"/>
  <c r="F22" i="2" s="1"/>
  <c r="M54" i="5"/>
  <c r="AV55" i="5"/>
  <c r="M58" i="5"/>
  <c r="AV59" i="5"/>
  <c r="AS93" i="5"/>
  <c r="BH100" i="5"/>
  <c r="AW100" i="5"/>
  <c r="K101" i="5"/>
  <c r="K93" i="5" s="1"/>
  <c r="BH108" i="5"/>
  <c r="AW108" i="5"/>
  <c r="K109" i="5"/>
  <c r="BF124" i="5"/>
  <c r="O122" i="5"/>
  <c r="AU135" i="5"/>
  <c r="AX136" i="5"/>
  <c r="AV136" i="5" s="1"/>
  <c r="BI136" i="5"/>
  <c r="AC136" i="5" s="1"/>
  <c r="K142" i="5"/>
  <c r="AV145" i="5"/>
  <c r="BC145" i="5"/>
  <c r="AX146" i="5"/>
  <c r="AV146" i="5" s="1"/>
  <c r="BI146" i="5"/>
  <c r="AC146" i="5" s="1"/>
  <c r="BC148" i="5"/>
  <c r="AW172" i="5"/>
  <c r="BH172" i="5"/>
  <c r="AF172" i="5" s="1"/>
  <c r="BF173" i="5"/>
  <c r="AS184" i="5"/>
  <c r="AL188" i="5"/>
  <c r="M188" i="5"/>
  <c r="L184" i="5"/>
  <c r="AX188" i="5"/>
  <c r="K188" i="5"/>
  <c r="K184" i="5" s="1"/>
  <c r="BI188" i="5"/>
  <c r="AC188" i="5" s="1"/>
  <c r="AV206" i="5"/>
  <c r="BC206" i="5"/>
  <c r="BF26" i="10"/>
  <c r="AV38" i="10"/>
  <c r="K89" i="5"/>
  <c r="BI92" i="5"/>
  <c r="AC92" i="5" s="1"/>
  <c r="C15" i="2" s="1"/>
  <c r="K92" i="5"/>
  <c r="AX92" i="5"/>
  <c r="BH112" i="5"/>
  <c r="AW112" i="5"/>
  <c r="O119" i="5"/>
  <c r="O116" i="5" s="1"/>
  <c r="L13" i="4" s="1"/>
  <c r="BF121" i="5"/>
  <c r="AX138" i="5"/>
  <c r="AV138" i="5" s="1"/>
  <c r="BI138" i="5"/>
  <c r="AC138" i="5" s="1"/>
  <c r="AX141" i="5"/>
  <c r="AV141" i="5" s="1"/>
  <c r="BI141" i="5"/>
  <c r="AC141" i="5" s="1"/>
  <c r="BC144" i="5"/>
  <c r="AL181" i="5"/>
  <c r="M181" i="5"/>
  <c r="M180" i="5" s="1"/>
  <c r="L180" i="5"/>
  <c r="L177" i="5" s="1"/>
  <c r="K16" i="4" s="1"/>
  <c r="P16" i="4" s="1"/>
  <c r="AP30" i="10"/>
  <c r="BJ30" i="10"/>
  <c r="AO30" i="10"/>
  <c r="BH30" i="10" s="1"/>
  <c r="AD30" i="10" s="1"/>
  <c r="BD30" i="10"/>
  <c r="I14" i="2"/>
  <c r="I22" i="2" s="1"/>
  <c r="L13" i="5"/>
  <c r="AV15" i="5"/>
  <c r="L18" i="5"/>
  <c r="AV21" i="5"/>
  <c r="L22" i="5"/>
  <c r="AV26" i="5"/>
  <c r="AV30" i="5"/>
  <c r="L32" i="5"/>
  <c r="AV36" i="5"/>
  <c r="AV43" i="5"/>
  <c r="AV47" i="5"/>
  <c r="AV56" i="5"/>
  <c r="AV60" i="5"/>
  <c r="M64" i="5"/>
  <c r="AL64" i="5"/>
  <c r="AL66" i="5"/>
  <c r="M66" i="5"/>
  <c r="C21" i="2"/>
  <c r="L68" i="5"/>
  <c r="M70" i="5"/>
  <c r="AL70" i="5"/>
  <c r="M72" i="5"/>
  <c r="AL72" i="5"/>
  <c r="AL74" i="5"/>
  <c r="M74" i="5"/>
  <c r="AL76" i="5"/>
  <c r="M76" i="5"/>
  <c r="AL78" i="5"/>
  <c r="M78" i="5"/>
  <c r="AL80" i="5"/>
  <c r="M80" i="5"/>
  <c r="M82" i="5"/>
  <c r="AL82" i="5"/>
  <c r="AL84" i="5"/>
  <c r="M84" i="5"/>
  <c r="AL86" i="5"/>
  <c r="AU85" i="5" s="1"/>
  <c r="M86" i="5"/>
  <c r="M88" i="5"/>
  <c r="AL88" i="5"/>
  <c r="AL90" i="5"/>
  <c r="AU89" i="5" s="1"/>
  <c r="M90" i="5"/>
  <c r="M89" i="5" s="1"/>
  <c r="C20" i="2"/>
  <c r="AV91" i="5"/>
  <c r="BC91" i="5"/>
  <c r="BI97" i="5"/>
  <c r="AX97" i="5"/>
  <c r="AV98" i="5"/>
  <c r="BC98" i="5"/>
  <c r="AV99" i="5"/>
  <c r="BC99" i="5"/>
  <c r="J100" i="5"/>
  <c r="BI105" i="5"/>
  <c r="AX105" i="5"/>
  <c r="AV106" i="5"/>
  <c r="BC106" i="5"/>
  <c r="AV107" i="5"/>
  <c r="BC107" i="5"/>
  <c r="J108" i="5"/>
  <c r="BI113" i="5"/>
  <c r="AX113" i="5"/>
  <c r="AV113" i="5" s="1"/>
  <c r="AV114" i="5"/>
  <c r="BC114" i="5"/>
  <c r="AV115" i="5"/>
  <c r="BC115" i="5"/>
  <c r="BH118" i="5"/>
  <c r="AB118" i="5" s="1"/>
  <c r="C14" i="2" s="1"/>
  <c r="AW118" i="5"/>
  <c r="M120" i="5"/>
  <c r="AL120" i="5"/>
  <c r="AU119" i="5" s="1"/>
  <c r="BH124" i="5"/>
  <c r="AB124" i="5" s="1"/>
  <c r="AW124" i="5"/>
  <c r="AL126" i="5"/>
  <c r="AU125" i="5" s="1"/>
  <c r="M126" i="5"/>
  <c r="M125" i="5" s="1"/>
  <c r="M129" i="5"/>
  <c r="M128" i="5" s="1"/>
  <c r="AL129" i="5"/>
  <c r="AU128" i="5" s="1"/>
  <c r="O130" i="5"/>
  <c r="M131" i="5"/>
  <c r="M130" i="5" s="1"/>
  <c r="L130" i="5"/>
  <c r="M133" i="5"/>
  <c r="BC136" i="5"/>
  <c r="K138" i="5"/>
  <c r="AV139" i="5"/>
  <c r="BC139" i="5"/>
  <c r="K141" i="5"/>
  <c r="K140" i="5" s="1"/>
  <c r="AV143" i="5"/>
  <c r="BC143" i="5"/>
  <c r="AX144" i="5"/>
  <c r="AV144" i="5" s="1"/>
  <c r="BI144" i="5"/>
  <c r="AC144" i="5" s="1"/>
  <c r="BC146" i="5"/>
  <c r="K151" i="5"/>
  <c r="K149" i="5" s="1"/>
  <c r="AV153" i="5"/>
  <c r="BC153" i="5"/>
  <c r="AX154" i="5"/>
  <c r="AV154" i="5" s="1"/>
  <c r="BI154" i="5"/>
  <c r="AC154" i="5" s="1"/>
  <c r="AL192" i="5"/>
  <c r="M192" i="5"/>
  <c r="K198" i="5"/>
  <c r="AU198" i="5"/>
  <c r="M213" i="5"/>
  <c r="AP23" i="10"/>
  <c r="AO23" i="10"/>
  <c r="BD23" i="10"/>
  <c r="BJ23" i="10"/>
  <c r="M59" i="10"/>
  <c r="AL59" i="10"/>
  <c r="AW72" i="10"/>
  <c r="L140" i="5"/>
  <c r="AX195" i="5"/>
  <c r="BI195" i="5"/>
  <c r="AV207" i="5"/>
  <c r="BC207" i="5"/>
  <c r="AX209" i="5"/>
  <c r="BC209" i="5" s="1"/>
  <c r="BI209" i="5"/>
  <c r="BH15" i="10"/>
  <c r="AD15" i="10" s="1"/>
  <c r="AX15" i="10"/>
  <c r="O15" i="10"/>
  <c r="BF15" i="10" s="1"/>
  <c r="K15" i="10"/>
  <c r="K13" i="10" s="1"/>
  <c r="BJ15" i="10"/>
  <c r="BI15" i="10"/>
  <c r="AE15" i="10" s="1"/>
  <c r="L15" i="10"/>
  <c r="J15" i="10"/>
  <c r="AW17" i="10"/>
  <c r="J17" i="10"/>
  <c r="J16" i="10" s="1"/>
  <c r="BJ29" i="10"/>
  <c r="BH29" i="10"/>
  <c r="AD29" i="10" s="1"/>
  <c r="AX29" i="10"/>
  <c r="O29" i="10"/>
  <c r="BF29" i="10" s="1"/>
  <c r="K29" i="10"/>
  <c r="J29" i="10"/>
  <c r="AW29" i="10"/>
  <c r="AW33" i="10"/>
  <c r="J33" i="10"/>
  <c r="J32" i="10" s="1"/>
  <c r="AP70" i="10"/>
  <c r="AO70" i="10"/>
  <c r="BD70" i="10"/>
  <c r="O93" i="5"/>
  <c r="L116" i="5"/>
  <c r="K13" i="4" s="1"/>
  <c r="P13" i="4" s="1"/>
  <c r="AL131" i="5"/>
  <c r="AU130" i="5" s="1"/>
  <c r="M136" i="5"/>
  <c r="K137" i="5"/>
  <c r="K135" i="5" s="1"/>
  <c r="M138" i="5"/>
  <c r="M141" i="5"/>
  <c r="M140" i="5" s="1"/>
  <c r="M144" i="5"/>
  <c r="M142" i="5" s="1"/>
  <c r="AL144" i="5"/>
  <c r="AU142" i="5" s="1"/>
  <c r="M146" i="5"/>
  <c r="M148" i="5"/>
  <c r="M151" i="5"/>
  <c r="M149" i="5" s="1"/>
  <c r="AL151" i="5"/>
  <c r="AU149" i="5" s="1"/>
  <c r="M154" i="5"/>
  <c r="M152" i="5" s="1"/>
  <c r="AL154" i="5"/>
  <c r="AU152" i="5" s="1"/>
  <c r="AL161" i="5"/>
  <c r="M161" i="5"/>
  <c r="AL164" i="5"/>
  <c r="M164" i="5"/>
  <c r="AX172" i="5"/>
  <c r="BH173" i="5"/>
  <c r="AF173" i="5" s="1"/>
  <c r="AV174" i="5"/>
  <c r="AL183" i="5"/>
  <c r="M183" i="5"/>
  <c r="AL186" i="5"/>
  <c r="M186" i="5"/>
  <c r="AL190" i="5"/>
  <c r="M190" i="5"/>
  <c r="BI191" i="5"/>
  <c r="AX191" i="5"/>
  <c r="BI194" i="5"/>
  <c r="AC194" i="5" s="1"/>
  <c r="K195" i="5"/>
  <c r="BC197" i="5"/>
  <c r="BC201" i="5"/>
  <c r="BC205" i="5"/>
  <c r="K209" i="5"/>
  <c r="M208" i="5"/>
  <c r="AU208" i="5"/>
  <c r="AW15" i="10"/>
  <c r="BF23" i="10"/>
  <c r="AP26" i="10"/>
  <c r="AO26" i="10"/>
  <c r="BH26" i="10" s="1"/>
  <c r="AD26" i="10" s="1"/>
  <c r="BD26" i="10"/>
  <c r="BJ34" i="10"/>
  <c r="BH34" i="10"/>
  <c r="AD34" i="10" s="1"/>
  <c r="AX34" i="10"/>
  <c r="AV34" i="10" s="1"/>
  <c r="O34" i="10"/>
  <c r="BF34" i="10" s="1"/>
  <c r="K34" i="10"/>
  <c r="L34" i="10"/>
  <c r="J34" i="10"/>
  <c r="AP45" i="10"/>
  <c r="AO45" i="10"/>
  <c r="BD45" i="10"/>
  <c r="AP47" i="10"/>
  <c r="AO47" i="10"/>
  <c r="BH47" i="10" s="1"/>
  <c r="AD47" i="10" s="1"/>
  <c r="BD47" i="10"/>
  <c r="J48" i="10"/>
  <c r="AT53" i="10"/>
  <c r="AP58" i="10"/>
  <c r="AO58" i="10"/>
  <c r="BH58" i="10" s="1"/>
  <c r="AB58" i="10" s="1"/>
  <c r="BD58" i="10"/>
  <c r="BH64" i="10"/>
  <c r="AB64" i="10" s="1"/>
  <c r="AX64" i="10"/>
  <c r="O64" i="10"/>
  <c r="BF64" i="10" s="1"/>
  <c r="K64" i="10"/>
  <c r="BJ64" i="10"/>
  <c r="BI64" i="10"/>
  <c r="AC64" i="10" s="1"/>
  <c r="L64" i="10"/>
  <c r="J64" i="10"/>
  <c r="AW64" i="10"/>
  <c r="BC66" i="10"/>
  <c r="BJ70" i="10"/>
  <c r="AL87" i="10"/>
  <c r="M87" i="10"/>
  <c r="BI100" i="10"/>
  <c r="AV92" i="5"/>
  <c r="AV97" i="5"/>
  <c r="AV101" i="5"/>
  <c r="AV105" i="5"/>
  <c r="AV109" i="5"/>
  <c r="AL187" i="5"/>
  <c r="M187" i="5"/>
  <c r="AL191" i="5"/>
  <c r="M191" i="5"/>
  <c r="AV193" i="5"/>
  <c r="BC193" i="5"/>
  <c r="AW26" i="10"/>
  <c r="AP28" i="10"/>
  <c r="BJ28" i="10"/>
  <c r="AO28" i="10"/>
  <c r="BI29" i="10"/>
  <c r="AE29" i="10" s="1"/>
  <c r="K32" i="10"/>
  <c r="BI45" i="10"/>
  <c r="AE45" i="10" s="1"/>
  <c r="BJ52" i="10"/>
  <c r="AX52" i="10"/>
  <c r="O52" i="10"/>
  <c r="K52" i="10"/>
  <c r="K51" i="10" s="1"/>
  <c r="AP60" i="10"/>
  <c r="BJ60" i="10"/>
  <c r="AO60" i="10"/>
  <c r="AP72" i="10"/>
  <c r="AO72" i="10"/>
  <c r="BH72" i="10" s="1"/>
  <c r="AB72" i="10" s="1"/>
  <c r="BD72" i="10"/>
  <c r="BH92" i="10"/>
  <c r="AB92" i="10" s="1"/>
  <c r="AX92" i="10"/>
  <c r="O92" i="10"/>
  <c r="BF92" i="10" s="1"/>
  <c r="K92" i="10"/>
  <c r="AW92" i="10"/>
  <c r="J92" i="10"/>
  <c r="BJ92" i="10"/>
  <c r="BI92" i="10"/>
  <c r="AC92" i="10" s="1"/>
  <c r="L92" i="10"/>
  <c r="BH101" i="10"/>
  <c r="AX101" i="10"/>
  <c r="O101" i="10"/>
  <c r="BF101" i="10" s="1"/>
  <c r="K101" i="10"/>
  <c r="AW101" i="10"/>
  <c r="J101" i="10"/>
  <c r="BJ101" i="10"/>
  <c r="Z101" i="10" s="1"/>
  <c r="BI101" i="10"/>
  <c r="L101" i="10"/>
  <c r="J91" i="5"/>
  <c r="J89" i="5" s="1"/>
  <c r="C27" i="2"/>
  <c r="BC92" i="5"/>
  <c r="BC97" i="5"/>
  <c r="BC101" i="5"/>
  <c r="BC105" i="5"/>
  <c r="BC109" i="5"/>
  <c r="M118" i="5"/>
  <c r="M117" i="5" s="1"/>
  <c r="M121" i="5"/>
  <c r="M124" i="5"/>
  <c r="M127" i="5"/>
  <c r="AL157" i="5"/>
  <c r="AU156" i="5" s="1"/>
  <c r="M157" i="5"/>
  <c r="M156" i="5" s="1"/>
  <c r="AL160" i="5"/>
  <c r="M160" i="5"/>
  <c r="AL163" i="5"/>
  <c r="AU162" i="5" s="1"/>
  <c r="M163" i="5"/>
  <c r="M162" i="5" s="1"/>
  <c r="AL166" i="5"/>
  <c r="M166" i="5"/>
  <c r="AL167" i="5"/>
  <c r="M167" i="5"/>
  <c r="AL168" i="5"/>
  <c r="M168" i="5"/>
  <c r="AX173" i="5"/>
  <c r="BC173" i="5" s="1"/>
  <c r="BH174" i="5"/>
  <c r="AF174" i="5" s="1"/>
  <c r="AL179" i="5"/>
  <c r="AU178" i="5" s="1"/>
  <c r="M179" i="5"/>
  <c r="M178" i="5" s="1"/>
  <c r="AL182" i="5"/>
  <c r="M182" i="5"/>
  <c r="AL185" i="5"/>
  <c r="M185" i="5"/>
  <c r="BI187" i="5"/>
  <c r="AC187" i="5" s="1"/>
  <c r="AL189" i="5"/>
  <c r="M189" i="5"/>
  <c r="AV194" i="5"/>
  <c r="BC194" i="5"/>
  <c r="BC200" i="5"/>
  <c r="BC204" i="5"/>
  <c r="C18" i="8"/>
  <c r="C25" i="8"/>
  <c r="BH17" i="10"/>
  <c r="AD17" i="10" s="1"/>
  <c r="AL27" i="10"/>
  <c r="BD28" i="10"/>
  <c r="L29" i="10"/>
  <c r="BH33" i="10"/>
  <c r="AD33" i="10" s="1"/>
  <c r="BH38" i="10"/>
  <c r="AD38" i="10" s="1"/>
  <c r="AX38" i="10"/>
  <c r="BC38" i="10" s="1"/>
  <c r="O38" i="10"/>
  <c r="K38" i="10"/>
  <c r="K37" i="10" s="1"/>
  <c r="BJ38" i="10"/>
  <c r="BI38" i="10"/>
  <c r="AE38" i="10" s="1"/>
  <c r="L38" i="10"/>
  <c r="J38" i="10"/>
  <c r="J37" i="10" s="1"/>
  <c r="AL46" i="10"/>
  <c r="M49" i="10"/>
  <c r="L48" i="10"/>
  <c r="AP50" i="10"/>
  <c r="BJ50" i="10"/>
  <c r="AO50" i="10"/>
  <c r="BH50" i="10" s="1"/>
  <c r="AD50" i="10" s="1"/>
  <c r="L52" i="10"/>
  <c r="BH56" i="10"/>
  <c r="AB56" i="10" s="1"/>
  <c r="BJ58" i="10"/>
  <c r="AW65" i="10"/>
  <c r="J65" i="10"/>
  <c r="AW91" i="10"/>
  <c r="J91" i="10"/>
  <c r="BH91" i="10"/>
  <c r="AB91" i="10" s="1"/>
  <c r="AP102" i="10"/>
  <c r="AO102" i="10"/>
  <c r="BD102" i="10"/>
  <c r="AW27" i="14"/>
  <c r="J27" i="14"/>
  <c r="BH27" i="14"/>
  <c r="AV195" i="5"/>
  <c r="AV209" i="5"/>
  <c r="I22" i="8"/>
  <c r="AW14" i="10"/>
  <c r="C20" i="8"/>
  <c r="C19" i="8"/>
  <c r="O16" i="10"/>
  <c r="BF17" i="10"/>
  <c r="AX17" i="10"/>
  <c r="M19" i="10"/>
  <c r="AX20" i="10"/>
  <c r="BJ24" i="10"/>
  <c r="BH24" i="10"/>
  <c r="AD24" i="10" s="1"/>
  <c r="AX24" i="10"/>
  <c r="O24" i="10"/>
  <c r="BF24" i="10" s="1"/>
  <c r="K24" i="10"/>
  <c r="BI24" i="10"/>
  <c r="AE24" i="10" s="1"/>
  <c r="AT25" i="10"/>
  <c r="BH27" i="10"/>
  <c r="AD27" i="10" s="1"/>
  <c r="AX27" i="10"/>
  <c r="O27" i="10"/>
  <c r="BF27" i="10" s="1"/>
  <c r="K27" i="10"/>
  <c r="BJ27" i="10"/>
  <c r="AW27" i="10"/>
  <c r="AW36" i="10"/>
  <c r="AX39" i="10"/>
  <c r="M41" i="10"/>
  <c r="M40" i="10" s="1"/>
  <c r="BF43" i="10"/>
  <c r="AX43" i="10"/>
  <c r="BC43" i="10" s="1"/>
  <c r="BJ46" i="10"/>
  <c r="BH46" i="10"/>
  <c r="AD46" i="10" s="1"/>
  <c r="AX46" i="10"/>
  <c r="O46" i="10"/>
  <c r="BF46" i="10" s="1"/>
  <c r="K46" i="10"/>
  <c r="BI46" i="10"/>
  <c r="AE46" i="10" s="1"/>
  <c r="BH49" i="10"/>
  <c r="AD49" i="10" s="1"/>
  <c r="AX49" i="10"/>
  <c r="O49" i="10"/>
  <c r="K49" i="10"/>
  <c r="BJ49" i="10"/>
  <c r="AW49" i="10"/>
  <c r="AW54" i="10"/>
  <c r="AX56" i="10"/>
  <c r="BH59" i="10"/>
  <c r="AB59" i="10" s="1"/>
  <c r="AX59" i="10"/>
  <c r="O59" i="10"/>
  <c r="BF59" i="10" s="1"/>
  <c r="K59" i="10"/>
  <c r="BJ59" i="10"/>
  <c r="AW59" i="10"/>
  <c r="AW63" i="10"/>
  <c r="AX65" i="10"/>
  <c r="M66" i="10"/>
  <c r="AX67" i="10"/>
  <c r="BC67" i="10" s="1"/>
  <c r="BJ71" i="10"/>
  <c r="BH71" i="10"/>
  <c r="AB71" i="10" s="1"/>
  <c r="AX71" i="10"/>
  <c r="O71" i="10"/>
  <c r="BF71" i="10" s="1"/>
  <c r="K71" i="10"/>
  <c r="BI71" i="10"/>
  <c r="AC71" i="10" s="1"/>
  <c r="AW73" i="10"/>
  <c r="BJ73" i="10"/>
  <c r="L73" i="10"/>
  <c r="BH78" i="10"/>
  <c r="AB78" i="10" s="1"/>
  <c r="AX78" i="10"/>
  <c r="O78" i="10"/>
  <c r="BF78" i="10" s="1"/>
  <c r="K78" i="10"/>
  <c r="AW78" i="10"/>
  <c r="J78" i="10"/>
  <c r="BJ78" i="10"/>
  <c r="AP83" i="10"/>
  <c r="AO83" i="10"/>
  <c r="BD83" i="10"/>
  <c r="BJ83" i="10"/>
  <c r="BH87" i="10"/>
  <c r="AB87" i="10" s="1"/>
  <c r="AX87" i="10"/>
  <c r="O87" i="10"/>
  <c r="BF87" i="10" s="1"/>
  <c r="K87" i="10"/>
  <c r="AW87" i="10"/>
  <c r="J87" i="10"/>
  <c r="BJ87" i="10"/>
  <c r="BI87" i="10"/>
  <c r="AC87" i="10" s="1"/>
  <c r="AP94" i="10"/>
  <c r="AO94" i="10"/>
  <c r="BD94" i="10"/>
  <c r="BJ94" i="10"/>
  <c r="Z94" i="10" s="1"/>
  <c r="C21" i="8" s="1"/>
  <c r="AW100" i="10"/>
  <c r="J100" i="10"/>
  <c r="BI103" i="10"/>
  <c r="AL115" i="10"/>
  <c r="M115" i="10"/>
  <c r="BH28" i="14"/>
  <c r="AX28" i="14"/>
  <c r="O28" i="14"/>
  <c r="BF28" i="14" s="1"/>
  <c r="K28" i="14"/>
  <c r="AW28" i="14"/>
  <c r="J28" i="14"/>
  <c r="BJ28" i="14"/>
  <c r="Z28" i="14" s="1"/>
  <c r="C21" i="12" s="1"/>
  <c r="L28" i="14"/>
  <c r="BI28" i="14"/>
  <c r="AP29" i="14"/>
  <c r="K29" i="14" s="1"/>
  <c r="AO29" i="14"/>
  <c r="J29" i="14" s="1"/>
  <c r="BJ29" i="14"/>
  <c r="Z29" i="14" s="1"/>
  <c r="BD29" i="14"/>
  <c r="M171" i="5"/>
  <c r="M172" i="5"/>
  <c r="M173" i="5"/>
  <c r="M174" i="5"/>
  <c r="BC195" i="5"/>
  <c r="AV196" i="5"/>
  <c r="BI196" i="5"/>
  <c r="AV210" i="5"/>
  <c r="BI210" i="5"/>
  <c r="K211" i="5"/>
  <c r="AV211" i="5"/>
  <c r="BI211" i="5"/>
  <c r="AC211" i="5" s="1"/>
  <c r="K212" i="5"/>
  <c r="AV212" i="5"/>
  <c r="BI212" i="5"/>
  <c r="AC212" i="5" s="1"/>
  <c r="K214" i="5"/>
  <c r="K213" i="5" s="1"/>
  <c r="AV214" i="5"/>
  <c r="BI214" i="5"/>
  <c r="AG214" i="5" s="1"/>
  <c r="K215" i="5"/>
  <c r="AV215" i="5"/>
  <c r="BI215" i="5"/>
  <c r="AC215" i="5" s="1"/>
  <c r="I27" i="9"/>
  <c r="BF14" i="10"/>
  <c r="O13" i="10"/>
  <c r="BD17" i="10"/>
  <c r="BJ19" i="10"/>
  <c r="BH19" i="10"/>
  <c r="AD19" i="10" s="1"/>
  <c r="AX19" i="10"/>
  <c r="AV19" i="10" s="1"/>
  <c r="O19" i="10"/>
  <c r="K19" i="10"/>
  <c r="BI19" i="10"/>
  <c r="AE19" i="10" s="1"/>
  <c r="BD20" i="10"/>
  <c r="BH21" i="10"/>
  <c r="AD21" i="10" s="1"/>
  <c r="AX21" i="10"/>
  <c r="O21" i="10"/>
  <c r="BF21" i="10" s="1"/>
  <c r="K21" i="10"/>
  <c r="BJ21" i="10"/>
  <c r="AW21" i="10"/>
  <c r="AW24" i="10"/>
  <c r="BI28" i="10"/>
  <c r="AE28" i="10" s="1"/>
  <c r="O32" i="10"/>
  <c r="BF33" i="10"/>
  <c r="BF36" i="10"/>
  <c r="O35" i="10"/>
  <c r="BD39" i="10"/>
  <c r="BJ41" i="10"/>
  <c r="BH41" i="10"/>
  <c r="AD41" i="10" s="1"/>
  <c r="AX41" i="10"/>
  <c r="AV41" i="10" s="1"/>
  <c r="O41" i="10"/>
  <c r="K41" i="10"/>
  <c r="K40" i="10" s="1"/>
  <c r="BI41" i="10"/>
  <c r="AE41" i="10" s="1"/>
  <c r="AT42" i="10"/>
  <c r="BD43" i="10"/>
  <c r="BH44" i="10"/>
  <c r="AD44" i="10" s="1"/>
  <c r="AX44" i="10"/>
  <c r="O44" i="10"/>
  <c r="BF44" i="10" s="1"/>
  <c r="K44" i="10"/>
  <c r="BJ44" i="10"/>
  <c r="AW44" i="10"/>
  <c r="AW46" i="10"/>
  <c r="BF54" i="10"/>
  <c r="O53" i="10"/>
  <c r="BD56" i="10"/>
  <c r="BJ57" i="10"/>
  <c r="BH57" i="10"/>
  <c r="AB57" i="10" s="1"/>
  <c r="AX57" i="10"/>
  <c r="O57" i="10"/>
  <c r="BF57" i="10" s="1"/>
  <c r="K57" i="10"/>
  <c r="AW57" i="10"/>
  <c r="BI60" i="10"/>
  <c r="AC60" i="10" s="1"/>
  <c r="BF63" i="10"/>
  <c r="BD65" i="10"/>
  <c r="BJ66" i="10"/>
  <c r="BH66" i="10"/>
  <c r="AB66" i="10" s="1"/>
  <c r="AX66" i="10"/>
  <c r="AV66" i="10" s="1"/>
  <c r="O66" i="10"/>
  <c r="BF66" i="10" s="1"/>
  <c r="K66" i="10"/>
  <c r="K62" i="10" s="1"/>
  <c r="BI66" i="10"/>
  <c r="AC66" i="10" s="1"/>
  <c r="BD67" i="10"/>
  <c r="BH69" i="10"/>
  <c r="AB69" i="10" s="1"/>
  <c r="AX69" i="10"/>
  <c r="O69" i="10"/>
  <c r="K69" i="10"/>
  <c r="BJ69" i="10"/>
  <c r="AS68" i="10"/>
  <c r="AW69" i="10"/>
  <c r="AW71" i="10"/>
  <c r="O73" i="10"/>
  <c r="BF73" i="10" s="1"/>
  <c r="AP75" i="10"/>
  <c r="K75" i="10" s="1"/>
  <c r="AO75" i="10"/>
  <c r="J75" i="10" s="1"/>
  <c r="BD75" i="10"/>
  <c r="BJ75" i="10"/>
  <c r="BI78" i="10"/>
  <c r="AC78" i="10" s="1"/>
  <c r="AW86" i="10"/>
  <c r="J86" i="10"/>
  <c r="J85" i="10" s="1"/>
  <c r="AP88" i="10"/>
  <c r="AO88" i="10"/>
  <c r="BD88" i="10"/>
  <c r="BJ88" i="10"/>
  <c r="BH100" i="10"/>
  <c r="AL16" i="14"/>
  <c r="L15" i="14"/>
  <c r="M16" i="14"/>
  <c r="AS15" i="14"/>
  <c r="C25" i="12"/>
  <c r="AL22" i="14"/>
  <c r="M22" i="14"/>
  <c r="F29" i="17"/>
  <c r="BH19" i="18"/>
  <c r="AB19" i="18" s="1"/>
  <c r="AX19" i="18"/>
  <c r="O19" i="18"/>
  <c r="K19" i="18"/>
  <c r="K18" i="18" s="1"/>
  <c r="AW19" i="18"/>
  <c r="J19" i="18"/>
  <c r="J18" i="18" s="1"/>
  <c r="BJ19" i="18"/>
  <c r="BI19" i="18"/>
  <c r="AC19" i="18" s="1"/>
  <c r="L19" i="18"/>
  <c r="L14" i="10"/>
  <c r="BI14" i="10"/>
  <c r="AE14" i="10" s="1"/>
  <c r="BD15" i="10"/>
  <c r="L20" i="10"/>
  <c r="BI20" i="10"/>
  <c r="AE20" i="10" s="1"/>
  <c r="BD21" i="10"/>
  <c r="L26" i="10"/>
  <c r="BI26" i="10"/>
  <c r="AE26" i="10" s="1"/>
  <c r="BD27" i="10"/>
  <c r="L30" i="10"/>
  <c r="BI30" i="10"/>
  <c r="AE30" i="10" s="1"/>
  <c r="BD31" i="10"/>
  <c r="L36" i="10"/>
  <c r="BI36" i="10"/>
  <c r="AE36" i="10" s="1"/>
  <c r="BD38" i="10"/>
  <c r="L43" i="10"/>
  <c r="BI43" i="10"/>
  <c r="AE43" i="10" s="1"/>
  <c r="BD44" i="10"/>
  <c r="L47" i="10"/>
  <c r="BI47" i="10"/>
  <c r="AE47" i="10" s="1"/>
  <c r="BD49" i="10"/>
  <c r="J50" i="10"/>
  <c r="AW50" i="10"/>
  <c r="AO52" i="10"/>
  <c r="BH52" i="10" s="1"/>
  <c r="AD52" i="10" s="1"/>
  <c r="L54" i="10"/>
  <c r="BI54" i="10"/>
  <c r="AC54" i="10" s="1"/>
  <c r="BD55" i="10"/>
  <c r="AW56" i="10"/>
  <c r="AO57" i="10"/>
  <c r="J57" i="10" s="1"/>
  <c r="L58" i="10"/>
  <c r="BI58" i="10"/>
  <c r="AC58" i="10" s="1"/>
  <c r="BD59" i="10"/>
  <c r="AO61" i="10"/>
  <c r="L63" i="10"/>
  <c r="BI63" i="10"/>
  <c r="AC63" i="10" s="1"/>
  <c r="BD64" i="10"/>
  <c r="L67" i="10"/>
  <c r="BI67" i="10"/>
  <c r="BD69" i="10"/>
  <c r="L72" i="10"/>
  <c r="BI72" i="10"/>
  <c r="AC72" i="10" s="1"/>
  <c r="BD73" i="10"/>
  <c r="AP73" i="10"/>
  <c r="AL74" i="10"/>
  <c r="M74" i="10"/>
  <c r="AW77" i="10"/>
  <c r="BH82" i="10"/>
  <c r="AB82" i="10" s="1"/>
  <c r="AX82" i="10"/>
  <c r="O82" i="10"/>
  <c r="BF82" i="10" s="1"/>
  <c r="K82" i="10"/>
  <c r="AW82" i="10"/>
  <c r="J82" i="10"/>
  <c r="BJ82" i="10"/>
  <c r="BI83" i="10"/>
  <c r="AC83" i="10" s="1"/>
  <c r="BF86" i="10"/>
  <c r="AL97" i="10"/>
  <c r="M97" i="10"/>
  <c r="BI102" i="10"/>
  <c r="AW104" i="10"/>
  <c r="J104" i="10"/>
  <c r="AL107" i="10"/>
  <c r="M107" i="10"/>
  <c r="J14" i="10"/>
  <c r="J13" i="10" s="1"/>
  <c r="L17" i="10"/>
  <c r="J20" i="10"/>
  <c r="J18" i="10" s="1"/>
  <c r="L23" i="10"/>
  <c r="J26" i="10"/>
  <c r="L28" i="10"/>
  <c r="L33" i="10"/>
  <c r="J36" i="10"/>
  <c r="J35" i="10" s="1"/>
  <c r="L39" i="10"/>
  <c r="J43" i="10"/>
  <c r="L45" i="10"/>
  <c r="J47" i="10"/>
  <c r="L50" i="10"/>
  <c r="J54" i="10"/>
  <c r="L56" i="10"/>
  <c r="J58" i="10"/>
  <c r="L60" i="10"/>
  <c r="J63" i="10"/>
  <c r="L65" i="10"/>
  <c r="J67" i="10"/>
  <c r="L70" i="10"/>
  <c r="J72" i="10"/>
  <c r="AO73" i="10"/>
  <c r="J73" i="10" s="1"/>
  <c r="BH74" i="10"/>
  <c r="AB74" i="10" s="1"/>
  <c r="AX74" i="10"/>
  <c r="O74" i="10"/>
  <c r="BF74" i="10" s="1"/>
  <c r="K74" i="10"/>
  <c r="AW74" i="10"/>
  <c r="J74" i="10"/>
  <c r="BJ74" i="10"/>
  <c r="AP79" i="10"/>
  <c r="K79" i="10" s="1"/>
  <c r="AO79" i="10"/>
  <c r="BH81" i="10"/>
  <c r="AB81" i="10" s="1"/>
  <c r="L82" i="10"/>
  <c r="BI82" i="10"/>
  <c r="AC82" i="10" s="1"/>
  <c r="BI88" i="10"/>
  <c r="AC88" i="10" s="1"/>
  <c r="BI94" i="10"/>
  <c r="AT93" i="10"/>
  <c r="AW96" i="10"/>
  <c r="J96" i="10"/>
  <c r="BH97" i="10"/>
  <c r="AX97" i="10"/>
  <c r="O97" i="10"/>
  <c r="BF97" i="10" s="1"/>
  <c r="K97" i="10"/>
  <c r="AW97" i="10"/>
  <c r="J97" i="10"/>
  <c r="BJ97" i="10"/>
  <c r="Z97" i="10" s="1"/>
  <c r="AP98" i="10"/>
  <c r="BI98" i="10" s="1"/>
  <c r="AO98" i="10"/>
  <c r="BI99" i="10"/>
  <c r="BH104" i="10"/>
  <c r="BH111" i="10"/>
  <c r="AX111" i="10"/>
  <c r="O111" i="10"/>
  <c r="BF111" i="10" s="1"/>
  <c r="K111" i="10"/>
  <c r="AW111" i="10"/>
  <c r="J111" i="10"/>
  <c r="BJ111" i="10"/>
  <c r="Z111" i="10" s="1"/>
  <c r="L111" i="10"/>
  <c r="J14" i="14"/>
  <c r="J13" i="14" s="1"/>
  <c r="BH14" i="14"/>
  <c r="AB14" i="14" s="1"/>
  <c r="J20" i="14"/>
  <c r="BH20" i="14"/>
  <c r="AB20" i="14" s="1"/>
  <c r="AP23" i="14"/>
  <c r="K23" i="14" s="1"/>
  <c r="AO23" i="14"/>
  <c r="AW23" i="14" s="1"/>
  <c r="BJ23" i="14"/>
  <c r="BD23" i="14"/>
  <c r="BD74" i="10"/>
  <c r="AW75" i="10"/>
  <c r="O76" i="10"/>
  <c r="BF76" i="10" s="1"/>
  <c r="AO76" i="10"/>
  <c r="AX76" i="10"/>
  <c r="L77" i="10"/>
  <c r="AP77" i="10"/>
  <c r="BI77" i="10"/>
  <c r="AC77" i="10" s="1"/>
  <c r="BD78" i="10"/>
  <c r="J79" i="10"/>
  <c r="AW79" i="10"/>
  <c r="K80" i="10"/>
  <c r="O80" i="10"/>
  <c r="BF80" i="10" s="1"/>
  <c r="AO80" i="10"/>
  <c r="AX80" i="10"/>
  <c r="BH80" i="10"/>
  <c r="AB80" i="10" s="1"/>
  <c r="L81" i="10"/>
  <c r="AP81" i="10"/>
  <c r="BI81" i="10"/>
  <c r="AC81" i="10" s="1"/>
  <c r="BD82" i="10"/>
  <c r="J83" i="10"/>
  <c r="AW83" i="10"/>
  <c r="K84" i="10"/>
  <c r="O84" i="10"/>
  <c r="BF84" i="10" s="1"/>
  <c r="AO84" i="10"/>
  <c r="BH84" i="10"/>
  <c r="AB84" i="10" s="1"/>
  <c r="L86" i="10"/>
  <c r="AP86" i="10"/>
  <c r="BI86" i="10"/>
  <c r="AC86" i="10" s="1"/>
  <c r="J88" i="10"/>
  <c r="AW88" i="10"/>
  <c r="O90" i="10"/>
  <c r="AO90" i="10"/>
  <c r="AX90" i="10"/>
  <c r="L91" i="10"/>
  <c r="AP91" i="10"/>
  <c r="BI91" i="10"/>
  <c r="AC91" i="10" s="1"/>
  <c r="J94" i="10"/>
  <c r="AW94" i="10"/>
  <c r="O95" i="10"/>
  <c r="BF95" i="10" s="1"/>
  <c r="AO95" i="10"/>
  <c r="BH95" i="10"/>
  <c r="L96" i="10"/>
  <c r="AP96" i="10"/>
  <c r="BI96" i="10" s="1"/>
  <c r="J98" i="10"/>
  <c r="AW98" i="10"/>
  <c r="K99" i="10"/>
  <c r="O99" i="10"/>
  <c r="BF99" i="10" s="1"/>
  <c r="AO99" i="10"/>
  <c r="AX99" i="10"/>
  <c r="BH99" i="10"/>
  <c r="L100" i="10"/>
  <c r="AP100" i="10"/>
  <c r="J102" i="10"/>
  <c r="AW102" i="10"/>
  <c r="O103" i="10"/>
  <c r="BF103" i="10" s="1"/>
  <c r="AO103" i="10"/>
  <c r="AX103" i="10"/>
  <c r="L104" i="10"/>
  <c r="AP104" i="10"/>
  <c r="BI104" i="10" s="1"/>
  <c r="BJ104" i="10"/>
  <c r="Z104" i="10" s="1"/>
  <c r="AP108" i="10"/>
  <c r="BI108" i="10" s="1"/>
  <c r="AO108" i="10"/>
  <c r="J108" i="10" s="1"/>
  <c r="I27" i="17"/>
  <c r="L14" i="18"/>
  <c r="AP42" i="18"/>
  <c r="K42" i="18" s="1"/>
  <c r="AO42" i="18"/>
  <c r="J42" i="18" s="1"/>
  <c r="BJ42" i="18"/>
  <c r="BD42" i="18"/>
  <c r="O75" i="10"/>
  <c r="BF75" i="10" s="1"/>
  <c r="BH75" i="10"/>
  <c r="AB75" i="10" s="1"/>
  <c r="L76" i="10"/>
  <c r="AP76" i="10"/>
  <c r="K76" i="10" s="1"/>
  <c r="BI76" i="10"/>
  <c r="AC76" i="10" s="1"/>
  <c r="BJ77" i="10"/>
  <c r="O79" i="10"/>
  <c r="BF79" i="10" s="1"/>
  <c r="BH79" i="10"/>
  <c r="AB79" i="10" s="1"/>
  <c r="L80" i="10"/>
  <c r="AP80" i="10"/>
  <c r="BI80" i="10"/>
  <c r="AC80" i="10" s="1"/>
  <c r="BJ81" i="10"/>
  <c r="K83" i="10"/>
  <c r="O83" i="10"/>
  <c r="BF83" i="10" s="1"/>
  <c r="AX83" i="10"/>
  <c r="BH83" i="10"/>
  <c r="AB83" i="10" s="1"/>
  <c r="L84" i="10"/>
  <c r="AP84" i="10"/>
  <c r="AX84" i="10" s="1"/>
  <c r="BI84" i="10"/>
  <c r="AC84" i="10" s="1"/>
  <c r="K88" i="10"/>
  <c r="O88" i="10"/>
  <c r="BF88" i="10" s="1"/>
  <c r="AX88" i="10"/>
  <c r="BH88" i="10"/>
  <c r="AB88" i="10" s="1"/>
  <c r="L90" i="10"/>
  <c r="AP90" i="10"/>
  <c r="BI90" i="10" s="1"/>
  <c r="AC90" i="10" s="1"/>
  <c r="K94" i="10"/>
  <c r="O94" i="10"/>
  <c r="AX94" i="10"/>
  <c r="BH94" i="10"/>
  <c r="L95" i="10"/>
  <c r="AP95" i="10"/>
  <c r="K95" i="10" s="1"/>
  <c r="BD96" i="10"/>
  <c r="K98" i="10"/>
  <c r="O98" i="10"/>
  <c r="BF98" i="10" s="1"/>
  <c r="AX98" i="10"/>
  <c r="BH98" i="10"/>
  <c r="L99" i="10"/>
  <c r="AP99" i="10"/>
  <c r="BD100" i="10"/>
  <c r="K102" i="10"/>
  <c r="O102" i="10"/>
  <c r="BF102" i="10" s="1"/>
  <c r="AX102" i="10"/>
  <c r="BH102" i="10"/>
  <c r="L103" i="10"/>
  <c r="AP103" i="10"/>
  <c r="K103" i="10" s="1"/>
  <c r="BH107" i="10"/>
  <c r="AX107" i="10"/>
  <c r="O107" i="10"/>
  <c r="BF107" i="10" s="1"/>
  <c r="K107" i="10"/>
  <c r="AW107" i="10"/>
  <c r="J107" i="10"/>
  <c r="BJ107" i="10"/>
  <c r="Z107" i="10" s="1"/>
  <c r="BI107" i="10"/>
  <c r="AW110" i="10"/>
  <c r="BH115" i="10"/>
  <c r="AX115" i="10"/>
  <c r="O115" i="10"/>
  <c r="BF115" i="10" s="1"/>
  <c r="K115" i="10"/>
  <c r="AW115" i="10"/>
  <c r="J115" i="10"/>
  <c r="BJ115" i="10"/>
  <c r="Z115" i="10" s="1"/>
  <c r="F22" i="12"/>
  <c r="I27" i="13"/>
  <c r="BH16" i="14"/>
  <c r="AB16" i="14" s="1"/>
  <c r="AX16" i="14"/>
  <c r="O16" i="14"/>
  <c r="K16" i="14"/>
  <c r="AW16" i="14"/>
  <c r="J16" i="14"/>
  <c r="BJ16" i="14"/>
  <c r="BI17" i="14"/>
  <c r="AC17" i="14" s="1"/>
  <c r="C18" i="12"/>
  <c r="AT15" i="14"/>
  <c r="C26" i="12"/>
  <c r="F26" i="12" s="1"/>
  <c r="BH22" i="14"/>
  <c r="AB22" i="14" s="1"/>
  <c r="AX22" i="14"/>
  <c r="O22" i="14"/>
  <c r="K22" i="14"/>
  <c r="AW22" i="14"/>
  <c r="J22" i="14"/>
  <c r="BJ22" i="14"/>
  <c r="BF27" i="14"/>
  <c r="I22" i="16"/>
  <c r="AP20" i="26"/>
  <c r="AO20" i="26"/>
  <c r="BJ20" i="26"/>
  <c r="BD20" i="26"/>
  <c r="L75" i="10"/>
  <c r="J77" i="10"/>
  <c r="L79" i="10"/>
  <c r="L83" i="10"/>
  <c r="L88" i="10"/>
  <c r="BD90" i="10"/>
  <c r="L94" i="10"/>
  <c r="BD95" i="10"/>
  <c r="L98" i="10"/>
  <c r="BD99" i="10"/>
  <c r="L102" i="10"/>
  <c r="BD103" i="10"/>
  <c r="BJ105" i="10"/>
  <c r="Z105" i="10" s="1"/>
  <c r="L105" i="10"/>
  <c r="O105" i="10"/>
  <c r="BF105" i="10" s="1"/>
  <c r="K105" i="10"/>
  <c r="AP112" i="10"/>
  <c r="BI112" i="10" s="1"/>
  <c r="AO112" i="10"/>
  <c r="I22" i="12"/>
  <c r="I18" i="13"/>
  <c r="AW14" i="14"/>
  <c r="BF14" i="14"/>
  <c r="O13" i="14"/>
  <c r="AP17" i="14"/>
  <c r="K17" i="14" s="1"/>
  <c r="AO17" i="14"/>
  <c r="AW17" i="14" s="1"/>
  <c r="C19" i="12"/>
  <c r="AW20" i="14"/>
  <c r="BI23" i="14"/>
  <c r="AC23" i="14" s="1"/>
  <c r="BI29" i="14"/>
  <c r="BH14" i="18"/>
  <c r="AB14" i="18" s="1"/>
  <c r="AX14" i="18"/>
  <c r="AW14" i="18"/>
  <c r="BJ14" i="18"/>
  <c r="O14" i="18"/>
  <c r="K14" i="18"/>
  <c r="J14" i="18"/>
  <c r="C21" i="16"/>
  <c r="AV14" i="22"/>
  <c r="BC14" i="22"/>
  <c r="BF14" i="22"/>
  <c r="AL15" i="22"/>
  <c r="M15" i="22"/>
  <c r="AO105" i="10"/>
  <c r="BH105" i="10" s="1"/>
  <c r="L106" i="10"/>
  <c r="AP106" i="10"/>
  <c r="BI106" i="10"/>
  <c r="BD107" i="10"/>
  <c r="K109" i="10"/>
  <c r="O109" i="10"/>
  <c r="BF109" i="10" s="1"/>
  <c r="AO109" i="10"/>
  <c r="BH109" i="10"/>
  <c r="L110" i="10"/>
  <c r="AP110" i="10"/>
  <c r="BI110" i="10"/>
  <c r="BD111" i="10"/>
  <c r="J112" i="10"/>
  <c r="AW112" i="10"/>
  <c r="O113" i="10"/>
  <c r="BF113" i="10" s="1"/>
  <c r="AO113" i="10"/>
  <c r="BH113" i="10" s="1"/>
  <c r="L114" i="10"/>
  <c r="AP114" i="10"/>
  <c r="L14" i="14"/>
  <c r="AP14" i="14"/>
  <c r="BI14" i="14"/>
  <c r="AC14" i="14" s="1"/>
  <c r="C15" i="12" s="1"/>
  <c r="BD16" i="14"/>
  <c r="K19" i="14"/>
  <c r="O19" i="14"/>
  <c r="AO19" i="14"/>
  <c r="AX19" i="14"/>
  <c r="BH19" i="14"/>
  <c r="AB19" i="14" s="1"/>
  <c r="L20" i="14"/>
  <c r="AP20" i="14"/>
  <c r="BI20" i="14"/>
  <c r="AC20" i="14" s="1"/>
  <c r="J23" i="14"/>
  <c r="O25" i="14"/>
  <c r="AO25" i="14"/>
  <c r="L27" i="14"/>
  <c r="AP27" i="14"/>
  <c r="BH24" i="18"/>
  <c r="AB24" i="18" s="1"/>
  <c r="AX24" i="18"/>
  <c r="O24" i="18"/>
  <c r="BF24" i="18" s="1"/>
  <c r="K24" i="18"/>
  <c r="AW24" i="18"/>
  <c r="J24" i="18"/>
  <c r="BJ24" i="18"/>
  <c r="L29" i="18"/>
  <c r="L35" i="18"/>
  <c r="L41" i="18"/>
  <c r="BF44" i="18"/>
  <c r="BH46" i="18"/>
  <c r="AX46" i="18"/>
  <c r="O46" i="18"/>
  <c r="BF46" i="18" s="1"/>
  <c r="K46" i="18"/>
  <c r="AW46" i="18"/>
  <c r="J46" i="18"/>
  <c r="BJ46" i="18"/>
  <c r="Z46" i="18" s="1"/>
  <c r="BI46" i="18"/>
  <c r="AW26" i="26"/>
  <c r="J26" i="26"/>
  <c r="BH26" i="26"/>
  <c r="AP105" i="10"/>
  <c r="AX105" i="10" s="1"/>
  <c r="BJ106" i="10"/>
  <c r="Z106" i="10" s="1"/>
  <c r="K108" i="10"/>
  <c r="O108" i="10"/>
  <c r="BF108" i="10" s="1"/>
  <c r="L109" i="10"/>
  <c r="AP109" i="10"/>
  <c r="AX109" i="10" s="1"/>
  <c r="BI109" i="10"/>
  <c r="BJ110" i="10"/>
  <c r="Z110" i="10" s="1"/>
  <c r="K112" i="10"/>
  <c r="O112" i="10"/>
  <c r="BF112" i="10" s="1"/>
  <c r="BH112" i="10"/>
  <c r="L113" i="10"/>
  <c r="AP113" i="10"/>
  <c r="AX113" i="10" s="1"/>
  <c r="BI113" i="10"/>
  <c r="BJ114" i="10"/>
  <c r="Z114" i="10" s="1"/>
  <c r="BJ14" i="14"/>
  <c r="O17" i="14"/>
  <c r="BF17" i="14" s="1"/>
  <c r="AX17" i="14"/>
  <c r="BH17" i="14"/>
  <c r="AB17" i="14" s="1"/>
  <c r="L19" i="14"/>
  <c r="AP19" i="14"/>
  <c r="BI19" i="14"/>
  <c r="AC19" i="14" s="1"/>
  <c r="BJ20" i="14"/>
  <c r="O23" i="14"/>
  <c r="BF23" i="14" s="1"/>
  <c r="AX23" i="14"/>
  <c r="BH23" i="14"/>
  <c r="AB23" i="14" s="1"/>
  <c r="L25" i="14"/>
  <c r="AP25" i="14"/>
  <c r="AX25" i="14" s="1"/>
  <c r="BI25" i="14"/>
  <c r="AC25" i="14" s="1"/>
  <c r="BD27" i="14"/>
  <c r="O29" i="14"/>
  <c r="BF29" i="14" s="1"/>
  <c r="AX29" i="14"/>
  <c r="BH29" i="14"/>
  <c r="AP25" i="18"/>
  <c r="AX25" i="18" s="1"/>
  <c r="AO25" i="18"/>
  <c r="J25" i="18" s="1"/>
  <c r="AW28" i="18"/>
  <c r="BF28" i="18"/>
  <c r="O27" i="18"/>
  <c r="AP31" i="18"/>
  <c r="K31" i="18" s="1"/>
  <c r="AO31" i="18"/>
  <c r="J31" i="18" s="1"/>
  <c r="I27" i="21"/>
  <c r="F29" i="21" s="1"/>
  <c r="I15" i="20"/>
  <c r="I22" i="20" s="1"/>
  <c r="BJ15" i="22"/>
  <c r="BI15" i="22"/>
  <c r="AG15" i="22" s="1"/>
  <c r="AX15" i="22"/>
  <c r="O15" i="22"/>
  <c r="BF15" i="22" s="1"/>
  <c r="K15" i="22"/>
  <c r="AT13" i="26"/>
  <c r="C26" i="24"/>
  <c r="F26" i="24" s="1"/>
  <c r="AO45" i="26"/>
  <c r="AP45" i="26"/>
  <c r="K45" i="26" s="1"/>
  <c r="BD45" i="26"/>
  <c r="J106" i="10"/>
  <c r="L108" i="10"/>
  <c r="J110" i="10"/>
  <c r="L112" i="10"/>
  <c r="L17" i="14"/>
  <c r="L23" i="14"/>
  <c r="L29" i="14"/>
  <c r="AP15" i="18"/>
  <c r="BI15" i="18" s="1"/>
  <c r="AC15" i="18" s="1"/>
  <c r="AO15" i="18"/>
  <c r="AP21" i="18"/>
  <c r="AX21" i="18" s="1"/>
  <c r="AO21" i="18"/>
  <c r="BH21" i="18" s="1"/>
  <c r="AB21" i="18" s="1"/>
  <c r="AL24" i="18"/>
  <c r="M24" i="18"/>
  <c r="BH29" i="18"/>
  <c r="AB29" i="18" s="1"/>
  <c r="AX29" i="18"/>
  <c r="O29" i="18"/>
  <c r="BF29" i="18" s="1"/>
  <c r="K29" i="18"/>
  <c r="AW29" i="18"/>
  <c r="J29" i="18"/>
  <c r="BJ29" i="18"/>
  <c r="AW33" i="18"/>
  <c r="BH35" i="18"/>
  <c r="AD35" i="18" s="1"/>
  <c r="C16" i="16" s="1"/>
  <c r="AX35" i="18"/>
  <c r="O35" i="18"/>
  <c r="K35" i="18"/>
  <c r="K34" i="18" s="1"/>
  <c r="AW35" i="18"/>
  <c r="J35" i="18"/>
  <c r="J34" i="18" s="1"/>
  <c r="BJ35" i="18"/>
  <c r="AP37" i="18"/>
  <c r="BI37" i="18" s="1"/>
  <c r="AC37" i="18" s="1"/>
  <c r="AO37" i="18"/>
  <c r="J37" i="18" s="1"/>
  <c r="BH41" i="18"/>
  <c r="AF41" i="18" s="1"/>
  <c r="C18" i="16" s="1"/>
  <c r="AX41" i="18"/>
  <c r="O41" i="18"/>
  <c r="K41" i="18"/>
  <c r="AW41" i="18"/>
  <c r="J41" i="18"/>
  <c r="J40" i="18" s="1"/>
  <c r="BJ41" i="18"/>
  <c r="AL46" i="18"/>
  <c r="M46" i="18"/>
  <c r="AS13" i="22"/>
  <c r="AP28" i="26"/>
  <c r="BI28" i="26" s="1"/>
  <c r="AO28" i="26"/>
  <c r="BJ28" i="26"/>
  <c r="Z28" i="26" s="1"/>
  <c r="BD28" i="26"/>
  <c r="J15" i="18"/>
  <c r="AW15" i="18"/>
  <c r="O16" i="18"/>
  <c r="BF16" i="18" s="1"/>
  <c r="AO16" i="18"/>
  <c r="L17" i="18"/>
  <c r="AP17" i="18"/>
  <c r="BD19" i="18"/>
  <c r="AW21" i="18"/>
  <c r="O22" i="18"/>
  <c r="BF22" i="18" s="1"/>
  <c r="AO22" i="18"/>
  <c r="L23" i="18"/>
  <c r="AP23" i="18"/>
  <c r="BI23" i="18"/>
  <c r="AC23" i="18" s="1"/>
  <c r="BD24" i="18"/>
  <c r="O26" i="18"/>
  <c r="BF26" i="18" s="1"/>
  <c r="AO26" i="18"/>
  <c r="BH26" i="18"/>
  <c r="AB26" i="18" s="1"/>
  <c r="L28" i="18"/>
  <c r="AP28" i="18"/>
  <c r="BI28" i="18"/>
  <c r="AC28" i="18" s="1"/>
  <c r="BD29" i="18"/>
  <c r="AW31" i="18"/>
  <c r="O32" i="18"/>
  <c r="BF32" i="18" s="1"/>
  <c r="AO32" i="18"/>
  <c r="L33" i="18"/>
  <c r="AP33" i="18"/>
  <c r="BD35" i="18"/>
  <c r="AW37" i="18"/>
  <c r="K38" i="18"/>
  <c r="O38" i="18"/>
  <c r="BF38" i="18" s="1"/>
  <c r="AO38" i="18"/>
  <c r="BH38" i="18"/>
  <c r="AB38" i="18" s="1"/>
  <c r="L39" i="18"/>
  <c r="AP39" i="18"/>
  <c r="BI39" i="18"/>
  <c r="AC39" i="18" s="1"/>
  <c r="BD41" i="18"/>
  <c r="AW42" i="18"/>
  <c r="AO44" i="18"/>
  <c r="BH44" i="18"/>
  <c r="L45" i="18"/>
  <c r="AP45" i="18"/>
  <c r="BI45" i="18"/>
  <c r="BD46" i="18"/>
  <c r="L14" i="22"/>
  <c r="BI14" i="22"/>
  <c r="AG14" i="22" s="1"/>
  <c r="AL17" i="22"/>
  <c r="M17" i="22"/>
  <c r="AP14" i="26"/>
  <c r="BI14" i="26" s="1"/>
  <c r="AC14" i="26" s="1"/>
  <c r="AO14" i="26"/>
  <c r="BH18" i="26"/>
  <c r="AF18" i="26" s="1"/>
  <c r="AX18" i="26"/>
  <c r="O18" i="26"/>
  <c r="BF18" i="26" s="1"/>
  <c r="K18" i="26"/>
  <c r="AW18" i="26"/>
  <c r="J18" i="26"/>
  <c r="BJ18" i="26"/>
  <c r="BI29" i="26"/>
  <c r="AC29" i="26" s="1"/>
  <c r="AL31" i="26"/>
  <c r="M31" i="26"/>
  <c r="K15" i="18"/>
  <c r="O15" i="18"/>
  <c r="BF15" i="18" s="1"/>
  <c r="AX15" i="18"/>
  <c r="BH15" i="18"/>
  <c r="AB15" i="18" s="1"/>
  <c r="L16" i="18"/>
  <c r="AP16" i="18"/>
  <c r="AX16" i="18" s="1"/>
  <c r="BJ17" i="18"/>
  <c r="K21" i="18"/>
  <c r="O21" i="18"/>
  <c r="L22" i="18"/>
  <c r="AP22" i="18"/>
  <c r="K22" i="18" s="1"/>
  <c r="BJ23" i="18"/>
  <c r="K25" i="18"/>
  <c r="O25" i="18"/>
  <c r="BF25" i="18" s="1"/>
  <c r="L26" i="18"/>
  <c r="AP26" i="18"/>
  <c r="BI26" i="18" s="1"/>
  <c r="AC26" i="18" s="1"/>
  <c r="BJ28" i="18"/>
  <c r="O31" i="18"/>
  <c r="AX31" i="18"/>
  <c r="BH31" i="18"/>
  <c r="AB31" i="18" s="1"/>
  <c r="L32" i="18"/>
  <c r="AP32" i="18"/>
  <c r="AX32" i="18" s="1"/>
  <c r="BI32" i="18"/>
  <c r="AC32" i="18" s="1"/>
  <c r="BJ33" i="18"/>
  <c r="K37" i="18"/>
  <c r="O37" i="18"/>
  <c r="AX37" i="18"/>
  <c r="L38" i="18"/>
  <c r="AP38" i="18"/>
  <c r="AX38" i="18" s="1"/>
  <c r="BI38" i="18"/>
  <c r="AC38" i="18" s="1"/>
  <c r="BJ39" i="18"/>
  <c r="O42" i="18"/>
  <c r="BF42" i="18" s="1"/>
  <c r="AX42" i="18"/>
  <c r="BH42" i="18"/>
  <c r="AF42" i="18" s="1"/>
  <c r="L44" i="18"/>
  <c r="AP44" i="18"/>
  <c r="K44" i="18" s="1"/>
  <c r="BI44" i="18"/>
  <c r="BJ45" i="18"/>
  <c r="Z45" i="18" s="1"/>
  <c r="BJ14" i="22"/>
  <c r="AW16" i="22"/>
  <c r="I27" i="25"/>
  <c r="F29" i="25" s="1"/>
  <c r="BD14" i="26"/>
  <c r="C20" i="24"/>
  <c r="BH22" i="26"/>
  <c r="AB22" i="26" s="1"/>
  <c r="AW22" i="26"/>
  <c r="J22" i="26"/>
  <c r="BH27" i="26"/>
  <c r="AX27" i="26"/>
  <c r="O27" i="26"/>
  <c r="BF27" i="26" s="1"/>
  <c r="K27" i="26"/>
  <c r="AW27" i="26"/>
  <c r="J27" i="26"/>
  <c r="BJ27" i="26"/>
  <c r="Z27" i="26" s="1"/>
  <c r="C21" i="24" s="1"/>
  <c r="L27" i="26"/>
  <c r="BI27" i="26"/>
  <c r="L15" i="18"/>
  <c r="J17" i="18"/>
  <c r="L21" i="18"/>
  <c r="L25" i="18"/>
  <c r="J28" i="18"/>
  <c r="L31" i="18"/>
  <c r="J33" i="18"/>
  <c r="L37" i="18"/>
  <c r="J39" i="18"/>
  <c r="L42" i="18"/>
  <c r="J45" i="18"/>
  <c r="J14" i="22"/>
  <c r="AO15" i="22"/>
  <c r="BH15" i="22" s="1"/>
  <c r="AF15" i="22" s="1"/>
  <c r="BH17" i="22"/>
  <c r="AF17" i="22" s="1"/>
  <c r="AX17" i="22"/>
  <c r="O17" i="22"/>
  <c r="BF17" i="22" s="1"/>
  <c r="K17" i="22"/>
  <c r="AW17" i="22"/>
  <c r="J17" i="22"/>
  <c r="BJ17" i="22"/>
  <c r="AP18" i="22"/>
  <c r="AO18" i="22"/>
  <c r="I22" i="24"/>
  <c r="BJ14" i="26"/>
  <c r="BH17" i="26"/>
  <c r="AF17" i="26" s="1"/>
  <c r="C18" i="24" s="1"/>
  <c r="L18" i="26"/>
  <c r="AS15" i="26"/>
  <c r="C25" i="24"/>
  <c r="BI18" i="26"/>
  <c r="AG18" i="26" s="1"/>
  <c r="BI20" i="26"/>
  <c r="AC20" i="26" s="1"/>
  <c r="L16" i="22"/>
  <c r="AP16" i="22"/>
  <c r="BI16" i="22"/>
  <c r="AG16" i="22" s="1"/>
  <c r="BD17" i="22"/>
  <c r="AO19" i="22"/>
  <c r="J14" i="26"/>
  <c r="J13" i="26" s="1"/>
  <c r="AW14" i="26"/>
  <c r="K16" i="26"/>
  <c r="O16" i="26"/>
  <c r="AO16" i="26"/>
  <c r="AX16" i="26"/>
  <c r="BH16" i="26"/>
  <c r="AB16" i="26" s="1"/>
  <c r="L17" i="26"/>
  <c r="AP17" i="26"/>
  <c r="BI17" i="26"/>
  <c r="AG17" i="26" s="1"/>
  <c r="C19" i="24" s="1"/>
  <c r="BD18" i="26"/>
  <c r="J20" i="26"/>
  <c r="AW20" i="26"/>
  <c r="K21" i="26"/>
  <c r="O21" i="26"/>
  <c r="BF21" i="26" s="1"/>
  <c r="AO21" i="26"/>
  <c r="BH21" i="26"/>
  <c r="AB21" i="26" s="1"/>
  <c r="BI22" i="26"/>
  <c r="AC22" i="26" s="1"/>
  <c r="L22" i="26"/>
  <c r="AP22" i="26"/>
  <c r="BH24" i="26"/>
  <c r="AB24" i="26" s="1"/>
  <c r="AX24" i="26"/>
  <c r="O24" i="26"/>
  <c r="BF24" i="26" s="1"/>
  <c r="AW24" i="26"/>
  <c r="J24" i="26"/>
  <c r="BJ36" i="26"/>
  <c r="AL49" i="26"/>
  <c r="AU48" i="26" s="1"/>
  <c r="L48" i="26"/>
  <c r="M49" i="26"/>
  <c r="BJ16" i="22"/>
  <c r="AP19" i="22"/>
  <c r="K14" i="26"/>
  <c r="K13" i="26" s="1"/>
  <c r="O14" i="26"/>
  <c r="AX14" i="26"/>
  <c r="BH14" i="26"/>
  <c r="AB14" i="26" s="1"/>
  <c r="L16" i="26"/>
  <c r="AP16" i="26"/>
  <c r="BI16" i="26"/>
  <c r="AC16" i="26" s="1"/>
  <c r="BJ17" i="26"/>
  <c r="K20" i="26"/>
  <c r="O20" i="26"/>
  <c r="AX20" i="26"/>
  <c r="BH20" i="26"/>
  <c r="AB20" i="26" s="1"/>
  <c r="L21" i="26"/>
  <c r="AP21" i="26"/>
  <c r="AX21" i="26" s="1"/>
  <c r="BI21" i="26"/>
  <c r="AC21" i="26" s="1"/>
  <c r="AW23" i="26"/>
  <c r="BJ23" i="26"/>
  <c r="L23" i="26"/>
  <c r="BH23" i="26"/>
  <c r="AB23" i="26" s="1"/>
  <c r="BD24" i="26"/>
  <c r="AW35" i="26"/>
  <c r="J35" i="26"/>
  <c r="BJ35" i="26"/>
  <c r="L35" i="26"/>
  <c r="AX35" i="26"/>
  <c r="K35" i="26"/>
  <c r="BI35" i="26"/>
  <c r="AE35" i="26" s="1"/>
  <c r="O35" i="26"/>
  <c r="BF35" i="26" s="1"/>
  <c r="AO36" i="26"/>
  <c r="BH36" i="26" s="1"/>
  <c r="AD36" i="26" s="1"/>
  <c r="AP36" i="26"/>
  <c r="AX36" i="26" s="1"/>
  <c r="AL39" i="26"/>
  <c r="M39" i="26"/>
  <c r="BI49" i="26"/>
  <c r="AG49" i="26" s="1"/>
  <c r="AL50" i="26"/>
  <c r="M50" i="26"/>
  <c r="J16" i="22"/>
  <c r="L14" i="26"/>
  <c r="L20" i="26"/>
  <c r="BI23" i="26"/>
  <c r="AC23" i="26" s="1"/>
  <c r="AP24" i="26"/>
  <c r="K24" i="26" s="1"/>
  <c r="BI24" i="26"/>
  <c r="AC24" i="26" s="1"/>
  <c r="BJ25" i="26"/>
  <c r="BD25" i="26"/>
  <c r="AP25" i="26"/>
  <c r="BI25" i="26" s="1"/>
  <c r="AC25" i="26" s="1"/>
  <c r="AO25" i="26"/>
  <c r="AW30" i="26"/>
  <c r="J30" i="26"/>
  <c r="BH31" i="26"/>
  <c r="AX31" i="26"/>
  <c r="AW31" i="26"/>
  <c r="BJ31" i="26"/>
  <c r="Z31" i="26" s="1"/>
  <c r="O31" i="26"/>
  <c r="BF31" i="26" s="1"/>
  <c r="K31" i="26"/>
  <c r="BI31" i="26"/>
  <c r="J31" i="26"/>
  <c r="BH35" i="26"/>
  <c r="AD35" i="26" s="1"/>
  <c r="C16" i="24" s="1"/>
  <c r="J38" i="26"/>
  <c r="AW38" i="26"/>
  <c r="AW44" i="26"/>
  <c r="J44" i="26"/>
  <c r="BJ44" i="26"/>
  <c r="Z44" i="26" s="1"/>
  <c r="L44" i="26"/>
  <c r="AX44" i="26"/>
  <c r="K44" i="26"/>
  <c r="BI44" i="26"/>
  <c r="O44" i="26"/>
  <c r="BI45" i="26"/>
  <c r="O25" i="26"/>
  <c r="BF25" i="26" s="1"/>
  <c r="AX25" i="26"/>
  <c r="BH25" i="26"/>
  <c r="AB25" i="26" s="1"/>
  <c r="L26" i="26"/>
  <c r="AP26" i="26"/>
  <c r="J28" i="26"/>
  <c r="AW28" i="26"/>
  <c r="O29" i="26"/>
  <c r="BF29" i="26" s="1"/>
  <c r="AO29" i="26"/>
  <c r="AX29" i="26"/>
  <c r="L30" i="26"/>
  <c r="AP30" i="26"/>
  <c r="BD31" i="26"/>
  <c r="L36" i="26"/>
  <c r="AP37" i="26"/>
  <c r="BI37" i="26" s="1"/>
  <c r="AE37" i="26" s="1"/>
  <c r="AO37" i="26"/>
  <c r="BH40" i="26"/>
  <c r="AD40" i="26" s="1"/>
  <c r="AX40" i="26"/>
  <c r="O40" i="26"/>
  <c r="BF40" i="26" s="1"/>
  <c r="K40" i="26"/>
  <c r="AW40" i="26"/>
  <c r="J40" i="26"/>
  <c r="L45" i="26"/>
  <c r="AT43" i="26"/>
  <c r="J47" i="26"/>
  <c r="AW49" i="26"/>
  <c r="J49" i="26"/>
  <c r="BJ49" i="26"/>
  <c r="AX49" i="26"/>
  <c r="L25" i="26"/>
  <c r="BD26" i="26"/>
  <c r="O28" i="26"/>
  <c r="BF28" i="26" s="1"/>
  <c r="AX28" i="26"/>
  <c r="BH28" i="26"/>
  <c r="L29" i="26"/>
  <c r="AP29" i="26"/>
  <c r="K29" i="26" s="1"/>
  <c r="BD30" i="26"/>
  <c r="AP32" i="26"/>
  <c r="BI32" i="26" s="1"/>
  <c r="AO32" i="26"/>
  <c r="BD32" i="26"/>
  <c r="AS33" i="26"/>
  <c r="AW39" i="26"/>
  <c r="J39" i="26"/>
  <c r="BJ39" i="26"/>
  <c r="BH39" i="26"/>
  <c r="AD39" i="26" s="1"/>
  <c r="BD40" i="26"/>
  <c r="AS43" i="26"/>
  <c r="AP46" i="26"/>
  <c r="AX46" i="26" s="1"/>
  <c r="AO46" i="26"/>
  <c r="BH50" i="26"/>
  <c r="AB50" i="26" s="1"/>
  <c r="AX50" i="26"/>
  <c r="O50" i="26"/>
  <c r="K50" i="26"/>
  <c r="K48" i="26" s="1"/>
  <c r="AW50" i="26"/>
  <c r="J50" i="26"/>
  <c r="L28" i="26"/>
  <c r="BD29" i="26"/>
  <c r="O36" i="26"/>
  <c r="BF36" i="26" s="1"/>
  <c r="K36" i="26"/>
  <c r="AP41" i="26"/>
  <c r="K41" i="26" s="1"/>
  <c r="AO41" i="26"/>
  <c r="BH45" i="26"/>
  <c r="AX45" i="26"/>
  <c r="O45" i="26"/>
  <c r="BF45" i="26" s="1"/>
  <c r="AW45" i="26"/>
  <c r="J45" i="26"/>
  <c r="BJ45" i="26"/>
  <c r="Z45" i="26" s="1"/>
  <c r="BD50" i="26"/>
  <c r="K32" i="26"/>
  <c r="O32" i="26"/>
  <c r="BF32" i="26" s="1"/>
  <c r="AX32" i="26"/>
  <c r="BH32" i="26"/>
  <c r="L34" i="26"/>
  <c r="AP34" i="26"/>
  <c r="O37" i="26"/>
  <c r="BF37" i="26" s="1"/>
  <c r="AX37" i="26"/>
  <c r="BH37" i="26"/>
  <c r="AD37" i="26" s="1"/>
  <c r="L38" i="26"/>
  <c r="AP38" i="26"/>
  <c r="BI38" i="26"/>
  <c r="AE38" i="26" s="1"/>
  <c r="O41" i="26"/>
  <c r="BF41" i="26" s="1"/>
  <c r="AX41" i="26"/>
  <c r="BH41" i="26"/>
  <c r="AD41" i="26" s="1"/>
  <c r="L42" i="26"/>
  <c r="AP42" i="26"/>
  <c r="BI42" i="26"/>
  <c r="K46" i="26"/>
  <c r="O46" i="26"/>
  <c r="BF46" i="26" s="1"/>
  <c r="BH46" i="26"/>
  <c r="AB46" i="26" s="1"/>
  <c r="L47" i="26"/>
  <c r="AP47" i="26"/>
  <c r="BI47" i="26"/>
  <c r="AC47" i="26" s="1"/>
  <c r="L32" i="26"/>
  <c r="L37" i="26"/>
  <c r="L41" i="26"/>
  <c r="L46" i="26"/>
  <c r="J12" i="5" l="1"/>
  <c r="I12" i="4" s="1"/>
  <c r="BC23" i="14"/>
  <c r="AV23" i="14"/>
  <c r="K134" i="5"/>
  <c r="J14" i="4" s="1"/>
  <c r="C15" i="24"/>
  <c r="BC17" i="14"/>
  <c r="AV17" i="14"/>
  <c r="K34" i="26"/>
  <c r="K33" i="26" s="1"/>
  <c r="AX34" i="26"/>
  <c r="AL45" i="26"/>
  <c r="M45" i="26"/>
  <c r="BC28" i="26"/>
  <c r="AV28" i="26"/>
  <c r="AL14" i="26"/>
  <c r="L13" i="26"/>
  <c r="M14" i="26"/>
  <c r="M13" i="26" s="1"/>
  <c r="AV23" i="26"/>
  <c r="BC23" i="26"/>
  <c r="AV22" i="26"/>
  <c r="M113" i="10"/>
  <c r="AL113" i="10"/>
  <c r="AX27" i="14"/>
  <c r="BC27" i="14" s="1"/>
  <c r="K27" i="14"/>
  <c r="K26" i="14" s="1"/>
  <c r="AW25" i="14"/>
  <c r="J25" i="14"/>
  <c r="J24" i="14" s="1"/>
  <c r="K18" i="14"/>
  <c r="AL110" i="10"/>
  <c r="M110" i="10"/>
  <c r="BC14" i="14"/>
  <c r="AV22" i="14"/>
  <c r="BC22" i="14"/>
  <c r="BC88" i="10"/>
  <c r="AV88" i="10"/>
  <c r="BC96" i="10"/>
  <c r="AW105" i="10"/>
  <c r="BC56" i="10"/>
  <c r="AV56" i="10"/>
  <c r="AL19" i="18"/>
  <c r="AU18" i="18" s="1"/>
  <c r="L18" i="18"/>
  <c r="M19" i="18"/>
  <c r="M18" i="18" s="1"/>
  <c r="AV59" i="10"/>
  <c r="BC59" i="10"/>
  <c r="AW52" i="10"/>
  <c r="AX50" i="10"/>
  <c r="K50" i="10"/>
  <c r="AV43" i="10"/>
  <c r="AV92" i="10"/>
  <c r="BC92" i="10"/>
  <c r="M64" i="10"/>
  <c r="AL64" i="10"/>
  <c r="M34" i="10"/>
  <c r="AL34" i="10"/>
  <c r="BC72" i="10"/>
  <c r="AV112" i="5"/>
  <c r="BC112" i="5"/>
  <c r="M68" i="5"/>
  <c r="AL32" i="26"/>
  <c r="M32" i="26"/>
  <c r="M34" i="26"/>
  <c r="L33" i="26"/>
  <c r="AL34" i="26"/>
  <c r="AW29" i="26"/>
  <c r="J29" i="26"/>
  <c r="AL44" i="26"/>
  <c r="L43" i="26"/>
  <c r="M44" i="26"/>
  <c r="AV35" i="26"/>
  <c r="BC35" i="26"/>
  <c r="AL15" i="18"/>
  <c r="M15" i="18"/>
  <c r="O36" i="18"/>
  <c r="BF37" i="18"/>
  <c r="AX26" i="18"/>
  <c r="AX23" i="18"/>
  <c r="K23" i="18"/>
  <c r="K20" i="18" s="1"/>
  <c r="J21" i="18"/>
  <c r="AL108" i="10"/>
  <c r="M108" i="10"/>
  <c r="BH108" i="10"/>
  <c r="BC26" i="26"/>
  <c r="AX14" i="14"/>
  <c r="AV14" i="14" s="1"/>
  <c r="K14" i="14"/>
  <c r="K13" i="14" s="1"/>
  <c r="AL79" i="10"/>
  <c r="M79" i="10"/>
  <c r="AL14" i="18"/>
  <c r="L13" i="18"/>
  <c r="M14" i="18"/>
  <c r="M13" i="18" s="1"/>
  <c r="AV111" i="10"/>
  <c r="BC111" i="10"/>
  <c r="AL82" i="10"/>
  <c r="M82" i="10"/>
  <c r="AL56" i="10"/>
  <c r="M56" i="10"/>
  <c r="M37" i="26"/>
  <c r="AL37" i="26"/>
  <c r="M47" i="26"/>
  <c r="AL47" i="26"/>
  <c r="AL28" i="26"/>
  <c r="M28" i="26"/>
  <c r="AL25" i="26"/>
  <c r="M25" i="26"/>
  <c r="K15" i="26"/>
  <c r="AL18" i="26"/>
  <c r="M18" i="26"/>
  <c r="AV17" i="22"/>
  <c r="BC17" i="22"/>
  <c r="AL31" i="18"/>
  <c r="L30" i="18"/>
  <c r="M31" i="18"/>
  <c r="O20" i="18"/>
  <c r="BF21" i="18"/>
  <c r="AW32" i="18"/>
  <c r="J32" i="18"/>
  <c r="K26" i="18"/>
  <c r="AX22" i="18"/>
  <c r="AW16" i="18"/>
  <c r="J16" i="18"/>
  <c r="AV41" i="18"/>
  <c r="BC41" i="18"/>
  <c r="AX114" i="10"/>
  <c r="K114" i="10"/>
  <c r="M103" i="10"/>
  <c r="AL103" i="10"/>
  <c r="AV74" i="10"/>
  <c r="BC74" i="10"/>
  <c r="AV82" i="10"/>
  <c r="BC82" i="10"/>
  <c r="AX73" i="10"/>
  <c r="AV73" i="10" s="1"/>
  <c r="K73" i="10"/>
  <c r="AL43" i="10"/>
  <c r="L42" i="10"/>
  <c r="M43" i="10"/>
  <c r="M42" i="10" s="1"/>
  <c r="AL20" i="10"/>
  <c r="AU18" i="10" s="1"/>
  <c r="M20" i="10"/>
  <c r="M18" i="10" s="1"/>
  <c r="L18" i="10"/>
  <c r="AV44" i="10"/>
  <c r="BC44" i="10"/>
  <c r="AL73" i="10"/>
  <c r="M73" i="10"/>
  <c r="AV27" i="14"/>
  <c r="AL92" i="10"/>
  <c r="M92" i="10"/>
  <c r="AV15" i="10"/>
  <c r="BC15" i="10"/>
  <c r="K23" i="10"/>
  <c r="K22" i="10" s="1"/>
  <c r="AX23" i="10"/>
  <c r="AV55" i="10"/>
  <c r="BC55" i="10"/>
  <c r="BC159" i="5"/>
  <c r="AV159" i="5"/>
  <c r="K38" i="26"/>
  <c r="AX38" i="26"/>
  <c r="BI36" i="26"/>
  <c r="AE36" i="26" s="1"/>
  <c r="BF44" i="26"/>
  <c r="O43" i="26"/>
  <c r="AV38" i="26"/>
  <c r="BC38" i="26"/>
  <c r="AV16" i="22"/>
  <c r="BC37" i="18"/>
  <c r="AV37" i="18"/>
  <c r="AW25" i="18"/>
  <c r="AL17" i="18"/>
  <c r="M17" i="18"/>
  <c r="BI42" i="18"/>
  <c r="AG42" i="18" s="1"/>
  <c r="C19" i="16" s="1"/>
  <c r="K40" i="18"/>
  <c r="AV35" i="18"/>
  <c r="BC35" i="18"/>
  <c r="AV29" i="18"/>
  <c r="BC29" i="18"/>
  <c r="O43" i="18"/>
  <c r="AL29" i="18"/>
  <c r="M29" i="18"/>
  <c r="O24" i="14"/>
  <c r="BF25" i="14"/>
  <c r="AL114" i="10"/>
  <c r="M114" i="10"/>
  <c r="J13" i="18"/>
  <c r="BC14" i="18"/>
  <c r="AV14" i="18"/>
  <c r="AL102" i="10"/>
  <c r="M102" i="10"/>
  <c r="BI27" i="14"/>
  <c r="AX79" i="10"/>
  <c r="AV79" i="10" s="1"/>
  <c r="AW103" i="10"/>
  <c r="J103" i="10"/>
  <c r="AW90" i="10"/>
  <c r="J90" i="10"/>
  <c r="J89" i="10" s="1"/>
  <c r="BC79" i="10"/>
  <c r="J76" i="10"/>
  <c r="AW76" i="10"/>
  <c r="BC50" i="10"/>
  <c r="AV50" i="10"/>
  <c r="AL47" i="10"/>
  <c r="M47" i="10"/>
  <c r="AL26" i="10"/>
  <c r="L25" i="10"/>
  <c r="M26" i="10"/>
  <c r="M25" i="10" s="1"/>
  <c r="AV57" i="10"/>
  <c r="BC57" i="10"/>
  <c r="BI73" i="10"/>
  <c r="AC73" i="10" s="1"/>
  <c r="O42" i="10"/>
  <c r="BC36" i="10"/>
  <c r="AV36" i="10"/>
  <c r="BI95" i="10"/>
  <c r="AW45" i="10"/>
  <c r="J45" i="10"/>
  <c r="BH45" i="10"/>
  <c r="AD45" i="10" s="1"/>
  <c r="AV191" i="5"/>
  <c r="BC191" i="5"/>
  <c r="AW70" i="10"/>
  <c r="J70" i="10"/>
  <c r="BH70" i="10"/>
  <c r="AB70" i="10" s="1"/>
  <c r="M15" i="10"/>
  <c r="AL15" i="10"/>
  <c r="AV67" i="10"/>
  <c r="BC19" i="10"/>
  <c r="M119" i="5"/>
  <c r="M116" i="5" s="1"/>
  <c r="K12" i="5"/>
  <c r="J12" i="4" s="1"/>
  <c r="BC166" i="5"/>
  <c r="AV166" i="5"/>
  <c r="BC127" i="5"/>
  <c r="AV127" i="5"/>
  <c r="BC121" i="5"/>
  <c r="AV121" i="5"/>
  <c r="AU68" i="5"/>
  <c r="M31" i="10"/>
  <c r="AL31" i="10"/>
  <c r="AV104" i="5"/>
  <c r="BC104" i="5"/>
  <c r="J36" i="26"/>
  <c r="O33" i="26"/>
  <c r="BC50" i="26"/>
  <c r="AV50" i="26"/>
  <c r="BI41" i="26"/>
  <c r="AE41" i="26" s="1"/>
  <c r="J32" i="26"/>
  <c r="AW32" i="26"/>
  <c r="M29" i="26"/>
  <c r="AL29" i="26"/>
  <c r="K28" i="26"/>
  <c r="BI46" i="26"/>
  <c r="AC46" i="26" s="1"/>
  <c r="BC40" i="26"/>
  <c r="AV40" i="26"/>
  <c r="AL36" i="26"/>
  <c r="M36" i="26"/>
  <c r="AL30" i="26"/>
  <c r="M30" i="26"/>
  <c r="AX26" i="26"/>
  <c r="AV26" i="26" s="1"/>
  <c r="K26" i="26"/>
  <c r="AV31" i="26"/>
  <c r="BC31" i="26"/>
  <c r="AL35" i="26"/>
  <c r="M35" i="26"/>
  <c r="BI26" i="26"/>
  <c r="AL23" i="26"/>
  <c r="M23" i="26"/>
  <c r="O19" i="26"/>
  <c r="BF20" i="26"/>
  <c r="O13" i="26"/>
  <c r="BF14" i="26"/>
  <c r="AX22" i="26"/>
  <c r="BC22" i="26" s="1"/>
  <c r="K22" i="26"/>
  <c r="BC20" i="26"/>
  <c r="AV20" i="26"/>
  <c r="AX17" i="26"/>
  <c r="K17" i="26"/>
  <c r="AW16" i="26"/>
  <c r="J16" i="26"/>
  <c r="J15" i="26" s="1"/>
  <c r="AX16" i="22"/>
  <c r="BC16" i="22" s="1"/>
  <c r="K16" i="22"/>
  <c r="AL37" i="18"/>
  <c r="L36" i="18"/>
  <c r="M37" i="18"/>
  <c r="AL25" i="18"/>
  <c r="M25" i="18"/>
  <c r="AV27" i="26"/>
  <c r="BC27" i="26"/>
  <c r="M44" i="18"/>
  <c r="AL44" i="18"/>
  <c r="L43" i="18"/>
  <c r="M38" i="18"/>
  <c r="AL38" i="18"/>
  <c r="M32" i="18"/>
  <c r="AL32" i="18"/>
  <c r="BH25" i="18"/>
  <c r="AB25" i="18" s="1"/>
  <c r="AX45" i="18"/>
  <c r="K45" i="18"/>
  <c r="K43" i="18" s="1"/>
  <c r="J44" i="18"/>
  <c r="J43" i="18" s="1"/>
  <c r="AW44" i="18"/>
  <c r="AX39" i="18"/>
  <c r="K39" i="18"/>
  <c r="K36" i="18" s="1"/>
  <c r="AW38" i="18"/>
  <c r="J38" i="18"/>
  <c r="J36" i="18" s="1"/>
  <c r="BH32" i="18"/>
  <c r="AB32" i="18" s="1"/>
  <c r="K32" i="18"/>
  <c r="K30" i="18" s="1"/>
  <c r="AX28" i="18"/>
  <c r="K28" i="18"/>
  <c r="K27" i="18" s="1"/>
  <c r="AW26" i="18"/>
  <c r="J26" i="18"/>
  <c r="AL23" i="18"/>
  <c r="M23" i="18"/>
  <c r="BH16" i="18"/>
  <c r="AB16" i="18" s="1"/>
  <c r="K16" i="18"/>
  <c r="K13" i="18" s="1"/>
  <c r="BF41" i="18"/>
  <c r="O40" i="18"/>
  <c r="BC33" i="18"/>
  <c r="AL17" i="14"/>
  <c r="M17" i="14"/>
  <c r="J15" i="22"/>
  <c r="BI21" i="18"/>
  <c r="AC21" i="18" s="1"/>
  <c r="AX112" i="10"/>
  <c r="AX108" i="10"/>
  <c r="AL41" i="18"/>
  <c r="L40" i="18"/>
  <c r="M41" i="18"/>
  <c r="BI25" i="18"/>
  <c r="AC25" i="18" s="1"/>
  <c r="AW29" i="14"/>
  <c r="BH25" i="14"/>
  <c r="AB25" i="14" s="1"/>
  <c r="C14" i="12" s="1"/>
  <c r="C22" i="12" s="1"/>
  <c r="K25" i="14"/>
  <c r="K24" i="14" s="1"/>
  <c r="AX20" i="14"/>
  <c r="K20" i="14"/>
  <c r="J19" i="14"/>
  <c r="J18" i="14" s="1"/>
  <c r="J12" i="14" s="1"/>
  <c r="AW19" i="14"/>
  <c r="J17" i="14"/>
  <c r="AL14" i="14"/>
  <c r="AU13" i="14" s="1"/>
  <c r="L13" i="14"/>
  <c r="M14" i="14"/>
  <c r="M13" i="14" s="1"/>
  <c r="K113" i="10"/>
  <c r="AW108" i="10"/>
  <c r="AX106" i="10"/>
  <c r="K106" i="10"/>
  <c r="AV20" i="14"/>
  <c r="BC20" i="14"/>
  <c r="BI105" i="10"/>
  <c r="BF22" i="14"/>
  <c r="O21" i="14"/>
  <c r="J15" i="14"/>
  <c r="AV107" i="10"/>
  <c r="BC107" i="10"/>
  <c r="M95" i="10"/>
  <c r="AL95" i="10"/>
  <c r="J105" i="10"/>
  <c r="AX100" i="10"/>
  <c r="K100" i="10"/>
  <c r="AW99" i="10"/>
  <c r="J99" i="10"/>
  <c r="AX95" i="10"/>
  <c r="BC94" i="10"/>
  <c r="AV94" i="10"/>
  <c r="AL91" i="10"/>
  <c r="M91" i="10"/>
  <c r="O89" i="10"/>
  <c r="BF90" i="10"/>
  <c r="BC83" i="10"/>
  <c r="AV83" i="10"/>
  <c r="AX81" i="10"/>
  <c r="K81" i="10"/>
  <c r="AW80" i="10"/>
  <c r="J80" i="10"/>
  <c r="AL77" i="10"/>
  <c r="M77" i="10"/>
  <c r="AL111" i="10"/>
  <c r="M111" i="10"/>
  <c r="AV97" i="10"/>
  <c r="BC97" i="10"/>
  <c r="J62" i="10"/>
  <c r="J42" i="10"/>
  <c r="J30" i="10"/>
  <c r="AL67" i="10"/>
  <c r="M67" i="10"/>
  <c r="AL58" i="10"/>
  <c r="M58" i="10"/>
  <c r="AL30" i="10"/>
  <c r="M30" i="10"/>
  <c r="BF19" i="18"/>
  <c r="O18" i="18"/>
  <c r="AV71" i="10"/>
  <c r="BC71" i="10"/>
  <c r="K68" i="10"/>
  <c r="O62" i="10"/>
  <c r="BI50" i="10"/>
  <c r="AE50" i="10" s="1"/>
  <c r="BF41" i="10"/>
  <c r="O40" i="10"/>
  <c r="AV21" i="10"/>
  <c r="BC21" i="10"/>
  <c r="K18" i="10"/>
  <c r="AV28" i="14"/>
  <c r="BC28" i="14"/>
  <c r="AV78" i="10"/>
  <c r="BC78" i="10"/>
  <c r="K48" i="10"/>
  <c r="AV27" i="10"/>
  <c r="BC27" i="10"/>
  <c r="BC14" i="10"/>
  <c r="AV14" i="10"/>
  <c r="M38" i="10"/>
  <c r="AL38" i="10"/>
  <c r="L37" i="10"/>
  <c r="BF38" i="10"/>
  <c r="O37" i="10"/>
  <c r="O12" i="10" s="1"/>
  <c r="M29" i="10"/>
  <c r="AL29" i="10"/>
  <c r="AU184" i="5"/>
  <c r="M165" i="5"/>
  <c r="BC113" i="5"/>
  <c r="K60" i="10"/>
  <c r="AX60" i="10"/>
  <c r="BF52" i="10"/>
  <c r="O51" i="10"/>
  <c r="AV173" i="5"/>
  <c r="AV64" i="10"/>
  <c r="BC64" i="10"/>
  <c r="K45" i="10"/>
  <c r="AX45" i="10"/>
  <c r="O22" i="10"/>
  <c r="K70" i="10"/>
  <c r="AX70" i="10"/>
  <c r="BC33" i="10"/>
  <c r="AV33" i="10"/>
  <c r="L134" i="5"/>
  <c r="K14" i="4" s="1"/>
  <c r="P14" i="4" s="1"/>
  <c r="BC124" i="5"/>
  <c r="AV124" i="5"/>
  <c r="BC118" i="5"/>
  <c r="AV118" i="5"/>
  <c r="AU180" i="5"/>
  <c r="AV100" i="5"/>
  <c r="BC100" i="5"/>
  <c r="M61" i="10"/>
  <c r="AL61" i="10"/>
  <c r="BC34" i="10"/>
  <c r="M55" i="10"/>
  <c r="AL55" i="10"/>
  <c r="BC41" i="10"/>
  <c r="BC167" i="5"/>
  <c r="AV167" i="5"/>
  <c r="M158" i="5"/>
  <c r="BC138" i="5"/>
  <c r="M62" i="5"/>
  <c r="AV31" i="10"/>
  <c r="BC31" i="10"/>
  <c r="AW41" i="26"/>
  <c r="J41" i="26"/>
  <c r="BF50" i="26"/>
  <c r="O48" i="26"/>
  <c r="AV49" i="26"/>
  <c r="BC49" i="26"/>
  <c r="AV44" i="26"/>
  <c r="BC44" i="26"/>
  <c r="AW25" i="26"/>
  <c r="J25" i="26"/>
  <c r="AL42" i="18"/>
  <c r="M42" i="18"/>
  <c r="AX33" i="18"/>
  <c r="AV33" i="18" s="1"/>
  <c r="K33" i="18"/>
  <c r="BC21" i="18"/>
  <c r="AV21" i="18"/>
  <c r="AX17" i="18"/>
  <c r="K17" i="18"/>
  <c r="AL29" i="14"/>
  <c r="M29" i="14"/>
  <c r="M109" i="10"/>
  <c r="AL109" i="10"/>
  <c r="BI31" i="18"/>
  <c r="AC31" i="18" s="1"/>
  <c r="AW113" i="10"/>
  <c r="J113" i="10"/>
  <c r="AL83" i="10"/>
  <c r="M83" i="10"/>
  <c r="K15" i="14"/>
  <c r="AV115" i="10"/>
  <c r="BC115" i="10"/>
  <c r="M90" i="10"/>
  <c r="AL90" i="10"/>
  <c r="AU89" i="10" s="1"/>
  <c r="L89" i="10"/>
  <c r="K104" i="10"/>
  <c r="AX104" i="10"/>
  <c r="AV104" i="10" s="1"/>
  <c r="BC102" i="10"/>
  <c r="AV102" i="10"/>
  <c r="AL96" i="10"/>
  <c r="M96" i="10"/>
  <c r="AL86" i="10"/>
  <c r="AU85" i="10" s="1"/>
  <c r="L85" i="10"/>
  <c r="M86" i="10"/>
  <c r="AV19" i="18"/>
  <c r="BC19" i="18"/>
  <c r="BC73" i="10"/>
  <c r="AV49" i="10"/>
  <c r="BC49" i="10"/>
  <c r="J60" i="10"/>
  <c r="J53" i="10" s="1"/>
  <c r="BH60" i="10"/>
  <c r="AB60" i="10" s="1"/>
  <c r="C14" i="8" s="1"/>
  <c r="J52" i="10"/>
  <c r="J51" i="10" s="1"/>
  <c r="K26" i="10"/>
  <c r="AX26" i="10"/>
  <c r="BC26" i="10" s="1"/>
  <c r="L12" i="5"/>
  <c r="K12" i="4" s="1"/>
  <c r="F23" i="2"/>
  <c r="BC39" i="10"/>
  <c r="AV39" i="10"/>
  <c r="AV45" i="26"/>
  <c r="BC45" i="26"/>
  <c r="K30" i="26"/>
  <c r="AX30" i="26"/>
  <c r="AV30" i="26" s="1"/>
  <c r="BC24" i="26"/>
  <c r="AV24" i="26"/>
  <c r="BC14" i="26"/>
  <c r="AV14" i="26"/>
  <c r="J27" i="18"/>
  <c r="O30" i="18"/>
  <c r="BF31" i="18"/>
  <c r="M26" i="18"/>
  <c r="AL26" i="18"/>
  <c r="M22" i="18"/>
  <c r="AL22" i="18"/>
  <c r="M16" i="18"/>
  <c r="AL16" i="18"/>
  <c r="C27" i="16" s="1"/>
  <c r="AV18" i="26"/>
  <c r="BC18" i="26"/>
  <c r="AX44" i="18"/>
  <c r="AL33" i="18"/>
  <c r="M33" i="18"/>
  <c r="AW22" i="18"/>
  <c r="J22" i="18"/>
  <c r="AL23" i="14"/>
  <c r="AU21" i="14" s="1"/>
  <c r="M23" i="14"/>
  <c r="M21" i="14" s="1"/>
  <c r="AV24" i="18"/>
  <c r="BC24" i="18"/>
  <c r="AL27" i="14"/>
  <c r="L26" i="14"/>
  <c r="M27" i="14"/>
  <c r="F29" i="13"/>
  <c r="M105" i="10"/>
  <c r="AL105" i="10"/>
  <c r="AL94" i="10"/>
  <c r="L93" i="10"/>
  <c r="M94" i="10"/>
  <c r="K21" i="14"/>
  <c r="BF16" i="14"/>
  <c r="O15" i="14"/>
  <c r="O12" i="14" s="1"/>
  <c r="O93" i="10"/>
  <c r="BF94" i="10"/>
  <c r="AX75" i="10"/>
  <c r="BC75" i="10" s="1"/>
  <c r="AL104" i="10"/>
  <c r="M104" i="10"/>
  <c r="BC98" i="10"/>
  <c r="AV98" i="10"/>
  <c r="AX91" i="10"/>
  <c r="AV91" i="10" s="1"/>
  <c r="K91" i="10"/>
  <c r="AX77" i="10"/>
  <c r="BC77" i="10" s="1"/>
  <c r="K77" i="10"/>
  <c r="BI75" i="10"/>
  <c r="AC75" i="10" s="1"/>
  <c r="AL65" i="10"/>
  <c r="M65" i="10"/>
  <c r="AL45" i="10"/>
  <c r="M45" i="10"/>
  <c r="AL33" i="10"/>
  <c r="AU32" i="10" s="1"/>
  <c r="L32" i="10"/>
  <c r="M33" i="10"/>
  <c r="M32" i="10" s="1"/>
  <c r="AL23" i="10"/>
  <c r="AU22" i="10" s="1"/>
  <c r="L22" i="10"/>
  <c r="M23" i="10"/>
  <c r="M22" i="10" s="1"/>
  <c r="AL63" i="10"/>
  <c r="L62" i="10"/>
  <c r="M63" i="10"/>
  <c r="M62" i="10" s="1"/>
  <c r="AU15" i="14"/>
  <c r="AV24" i="10"/>
  <c r="BC24" i="10"/>
  <c r="BC65" i="10"/>
  <c r="AV65" i="10"/>
  <c r="M52" i="10"/>
  <c r="M51" i="10" s="1"/>
  <c r="AL52" i="10"/>
  <c r="AU51" i="10" s="1"/>
  <c r="L51" i="10"/>
  <c r="BI23" i="10"/>
  <c r="AE23" i="10" s="1"/>
  <c r="C17" i="8" s="1"/>
  <c r="M184" i="5"/>
  <c r="M177" i="5" s="1"/>
  <c r="AV171" i="5"/>
  <c r="AX28" i="10"/>
  <c r="K28" i="10"/>
  <c r="K58" i="10"/>
  <c r="K53" i="10" s="1"/>
  <c r="AX58" i="10"/>
  <c r="O25" i="10"/>
  <c r="BC188" i="5"/>
  <c r="AV188" i="5"/>
  <c r="AV172" i="5"/>
  <c r="BC172" i="5"/>
  <c r="M53" i="5"/>
  <c r="M12" i="5" s="1"/>
  <c r="AV61" i="10"/>
  <c r="BC61" i="10"/>
  <c r="BI79" i="10"/>
  <c r="AC79" i="10" s="1"/>
  <c r="AL46" i="26"/>
  <c r="M46" i="26"/>
  <c r="K42" i="26"/>
  <c r="AX42" i="26"/>
  <c r="M38" i="26"/>
  <c r="AL38" i="26"/>
  <c r="K37" i="26"/>
  <c r="AL41" i="26"/>
  <c r="M41" i="26"/>
  <c r="K47" i="26"/>
  <c r="K43" i="26" s="1"/>
  <c r="AX47" i="26"/>
  <c r="M42" i="26"/>
  <c r="AL42" i="26"/>
  <c r="BI34" i="26"/>
  <c r="AE34" i="26" s="1"/>
  <c r="C17" i="24" s="1"/>
  <c r="AW36" i="26"/>
  <c r="J46" i="26"/>
  <c r="AW46" i="26"/>
  <c r="AV39" i="26"/>
  <c r="BC39" i="26"/>
  <c r="J48" i="26"/>
  <c r="AW37" i="26"/>
  <c r="J37" i="26"/>
  <c r="BH29" i="26"/>
  <c r="AB29" i="26" s="1"/>
  <c r="C14" i="24" s="1"/>
  <c r="C22" i="24" s="1"/>
  <c r="AL26" i="26"/>
  <c r="M26" i="26"/>
  <c r="K25" i="26"/>
  <c r="J43" i="26"/>
  <c r="AL20" i="26"/>
  <c r="L19" i="26"/>
  <c r="M20" i="26"/>
  <c r="M21" i="26"/>
  <c r="AL21" i="26"/>
  <c r="K19" i="26"/>
  <c r="M16" i="26"/>
  <c r="L15" i="26"/>
  <c r="AL16" i="26"/>
  <c r="AU15" i="26" s="1"/>
  <c r="M48" i="26"/>
  <c r="BI30" i="26"/>
  <c r="AL22" i="26"/>
  <c r="M22" i="26"/>
  <c r="AW21" i="26"/>
  <c r="J21" i="26"/>
  <c r="J19" i="26"/>
  <c r="AL17" i="26"/>
  <c r="M17" i="26"/>
  <c r="O15" i="26"/>
  <c r="BF16" i="26"/>
  <c r="AL16" i="22"/>
  <c r="M16" i="22"/>
  <c r="AL21" i="18"/>
  <c r="AU20" i="18" s="1"/>
  <c r="L20" i="18"/>
  <c r="M21" i="18"/>
  <c r="AL27" i="26"/>
  <c r="M27" i="26"/>
  <c r="BH37" i="18"/>
  <c r="AB37" i="18" s="1"/>
  <c r="BI22" i="18"/>
  <c r="AC22" i="18" s="1"/>
  <c r="BI16" i="18"/>
  <c r="AC16" i="18" s="1"/>
  <c r="C15" i="16" s="1"/>
  <c r="AL14" i="22"/>
  <c r="M14" i="22"/>
  <c r="AL45" i="18"/>
  <c r="M45" i="18"/>
  <c r="BC42" i="18"/>
  <c r="AV42" i="18"/>
  <c r="AL39" i="18"/>
  <c r="M39" i="18"/>
  <c r="BI33" i="18"/>
  <c r="AC33" i="18" s="1"/>
  <c r="BC31" i="18"/>
  <c r="AV31" i="18"/>
  <c r="AL28" i="18"/>
  <c r="AU27" i="18" s="1"/>
  <c r="L27" i="18"/>
  <c r="M28" i="18"/>
  <c r="M27" i="18" s="1"/>
  <c r="BH22" i="18"/>
  <c r="AB22" i="18" s="1"/>
  <c r="BI17" i="18"/>
  <c r="AC17" i="18" s="1"/>
  <c r="BC15" i="18"/>
  <c r="AV15" i="18"/>
  <c r="BF35" i="18"/>
  <c r="O34" i="18"/>
  <c r="AL112" i="10"/>
  <c r="M112" i="10"/>
  <c r="AW15" i="22"/>
  <c r="J30" i="18"/>
  <c r="AV28" i="18"/>
  <c r="BC28" i="18"/>
  <c r="M25" i="14"/>
  <c r="M24" i="14" s="1"/>
  <c r="AL25" i="14"/>
  <c r="AU24" i="14" s="1"/>
  <c r="L24" i="14"/>
  <c r="M19" i="14"/>
  <c r="M18" i="14" s="1"/>
  <c r="AL19" i="14"/>
  <c r="L18" i="14"/>
  <c r="AV46" i="18"/>
  <c r="BC46" i="18"/>
  <c r="AL35" i="18"/>
  <c r="AU34" i="18" s="1"/>
  <c r="L34" i="18"/>
  <c r="M35" i="18"/>
  <c r="M34" i="18" s="1"/>
  <c r="AL20" i="14"/>
  <c r="M20" i="14"/>
  <c r="O18" i="14"/>
  <c r="BF19" i="14"/>
  <c r="BI114" i="10"/>
  <c r="BC112" i="10"/>
  <c r="AV112" i="10"/>
  <c r="AX110" i="10"/>
  <c r="BC110" i="10" s="1"/>
  <c r="K110" i="10"/>
  <c r="AW109" i="10"/>
  <c r="J109" i="10"/>
  <c r="AL106" i="10"/>
  <c r="M106" i="10"/>
  <c r="BF14" i="18"/>
  <c r="O13" i="18"/>
  <c r="C14" i="16"/>
  <c r="AL98" i="10"/>
  <c r="M98" i="10"/>
  <c r="AL88" i="10"/>
  <c r="M88" i="10"/>
  <c r="AL75" i="10"/>
  <c r="M75" i="10"/>
  <c r="O26" i="14"/>
  <c r="J21" i="14"/>
  <c r="AV16" i="14"/>
  <c r="BC16" i="14"/>
  <c r="M99" i="10"/>
  <c r="AL99" i="10"/>
  <c r="M84" i="10"/>
  <c r="AL84" i="10"/>
  <c r="M80" i="10"/>
  <c r="AL80" i="10"/>
  <c r="M76" i="10"/>
  <c r="AL76" i="10"/>
  <c r="BH103" i="10"/>
  <c r="AL100" i="10"/>
  <c r="M100" i="10"/>
  <c r="K96" i="10"/>
  <c r="K93" i="10" s="1"/>
  <c r="AX96" i="10"/>
  <c r="AV96" i="10" s="1"/>
  <c r="J95" i="10"/>
  <c r="J93" i="10" s="1"/>
  <c r="AW95" i="10"/>
  <c r="BH90" i="10"/>
  <c r="AB90" i="10" s="1"/>
  <c r="K90" i="10"/>
  <c r="K89" i="10" s="1"/>
  <c r="AX86" i="10"/>
  <c r="AV86" i="10" s="1"/>
  <c r="K86" i="10"/>
  <c r="K85" i="10" s="1"/>
  <c r="J84" i="10"/>
  <c r="AW84" i="10"/>
  <c r="AL81" i="10"/>
  <c r="M81" i="10"/>
  <c r="BH76" i="10"/>
  <c r="AB76" i="10" s="1"/>
  <c r="AL70" i="10"/>
  <c r="AU68" i="10" s="1"/>
  <c r="M70" i="10"/>
  <c r="L68" i="10"/>
  <c r="AL60" i="10"/>
  <c r="M60" i="10"/>
  <c r="AL50" i="10"/>
  <c r="AU48" i="10" s="1"/>
  <c r="M50" i="10"/>
  <c r="M48" i="10" s="1"/>
  <c r="AL39" i="10"/>
  <c r="M39" i="10"/>
  <c r="AL28" i="10"/>
  <c r="M28" i="10"/>
  <c r="AL17" i="10"/>
  <c r="AU16" i="10" s="1"/>
  <c r="L16" i="10"/>
  <c r="M17" i="10"/>
  <c r="M16" i="10" s="1"/>
  <c r="O85" i="10"/>
  <c r="AL72" i="10"/>
  <c r="M72" i="10"/>
  <c r="AW60" i="10"/>
  <c r="AL54" i="10"/>
  <c r="L53" i="10"/>
  <c r="M54" i="10"/>
  <c r="M53" i="10" s="1"/>
  <c r="AL36" i="10"/>
  <c r="AU35" i="10" s="1"/>
  <c r="L35" i="10"/>
  <c r="M36" i="10"/>
  <c r="M35" i="10" s="1"/>
  <c r="AL14" i="10"/>
  <c r="AU13" i="10" s="1"/>
  <c r="L13" i="10"/>
  <c r="M14" i="10"/>
  <c r="L21" i="14"/>
  <c r="M15" i="14"/>
  <c r="AV69" i="10"/>
  <c r="BC69" i="10"/>
  <c r="BF69" i="10"/>
  <c r="O68" i="10"/>
  <c r="AV46" i="10"/>
  <c r="BC46" i="10"/>
  <c r="AW30" i="10"/>
  <c r="BF19" i="10"/>
  <c r="O18" i="10"/>
  <c r="AL28" i="14"/>
  <c r="M28" i="14"/>
  <c r="AV100" i="10"/>
  <c r="BC100" i="10"/>
  <c r="AV87" i="10"/>
  <c r="BC87" i="10"/>
  <c r="BH73" i="10"/>
  <c r="AB73" i="10" s="1"/>
  <c r="BC63" i="10"/>
  <c r="AV63" i="10"/>
  <c r="BC54" i="10"/>
  <c r="AV54" i="10"/>
  <c r="BF49" i="10"/>
  <c r="O48" i="10"/>
  <c r="I23" i="2"/>
  <c r="J26" i="14"/>
  <c r="AU165" i="5"/>
  <c r="AL101" i="10"/>
  <c r="M101" i="10"/>
  <c r="AV101" i="10"/>
  <c r="BC101" i="10"/>
  <c r="K72" i="10"/>
  <c r="AX72" i="10"/>
  <c r="AV72" i="10" s="1"/>
  <c r="AW58" i="10"/>
  <c r="AW47" i="10"/>
  <c r="AW28" i="10"/>
  <c r="J28" i="10"/>
  <c r="J25" i="10" s="1"/>
  <c r="BH28" i="10"/>
  <c r="AD28" i="10" s="1"/>
  <c r="K47" i="10"/>
  <c r="AX47" i="10"/>
  <c r="K208" i="5"/>
  <c r="K177" i="5" s="1"/>
  <c r="J16" i="4" s="1"/>
  <c r="M135" i="5"/>
  <c r="M134" i="5" s="1"/>
  <c r="AV29" i="10"/>
  <c r="BC29" i="10"/>
  <c r="BC17" i="10"/>
  <c r="AV17" i="10"/>
  <c r="AW23" i="10"/>
  <c r="J23" i="10"/>
  <c r="J22" i="10" s="1"/>
  <c r="BH23" i="10"/>
  <c r="AD23" i="10" s="1"/>
  <c r="C16" i="8" s="1"/>
  <c r="M85" i="5"/>
  <c r="BI70" i="10"/>
  <c r="AC70" i="10" s="1"/>
  <c r="C15" i="8" s="1"/>
  <c r="AX30" i="10"/>
  <c r="K30" i="10"/>
  <c r="BC154" i="5"/>
  <c r="AV108" i="5"/>
  <c r="BC108" i="5"/>
  <c r="BC181" i="5"/>
  <c r="AV181" i="5"/>
  <c r="F29" i="9"/>
  <c r="BC168" i="5"/>
  <c r="AV168" i="5"/>
  <c r="K165" i="5"/>
  <c r="AU158" i="5"/>
  <c r="M122" i="5"/>
  <c r="O12" i="5"/>
  <c r="L12" i="4" s="1"/>
  <c r="AU62" i="5"/>
  <c r="BC132" i="5"/>
  <c r="AV132" i="5"/>
  <c r="AV96" i="5"/>
  <c r="BC96" i="5"/>
  <c r="F27" i="16" l="1"/>
  <c r="I26" i="16"/>
  <c r="I27" i="16" s="1"/>
  <c r="J12" i="10"/>
  <c r="K12" i="18"/>
  <c r="K12" i="26"/>
  <c r="C22" i="8"/>
  <c r="BC46" i="26"/>
  <c r="AV46" i="26"/>
  <c r="BC45" i="10"/>
  <c r="AV45" i="10"/>
  <c r="AV103" i="10"/>
  <c r="BC103" i="10"/>
  <c r="AV23" i="18"/>
  <c r="BC23" i="18"/>
  <c r="BC30" i="10"/>
  <c r="AV30" i="10"/>
  <c r="O12" i="18"/>
  <c r="AV42" i="26"/>
  <c r="BC42" i="26"/>
  <c r="BC86" i="10"/>
  <c r="M93" i="10"/>
  <c r="AU26" i="14"/>
  <c r="C27" i="8"/>
  <c r="K25" i="10"/>
  <c r="K12" i="10" s="1"/>
  <c r="M89" i="10"/>
  <c r="K42" i="10"/>
  <c r="AV26" i="10"/>
  <c r="BC104" i="10"/>
  <c r="AV110" i="10"/>
  <c r="BC108" i="10"/>
  <c r="AV108" i="10"/>
  <c r="BC29" i="14"/>
  <c r="AV29" i="14"/>
  <c r="AU40" i="18"/>
  <c r="AV26" i="18"/>
  <c r="BC26" i="18"/>
  <c r="AV39" i="18"/>
  <c r="BC39" i="18"/>
  <c r="BC45" i="18"/>
  <c r="AV45" i="18"/>
  <c r="AV16" i="26"/>
  <c r="BC16" i="26"/>
  <c r="O12" i="26"/>
  <c r="BC30" i="26"/>
  <c r="BC32" i="26"/>
  <c r="AV32" i="26"/>
  <c r="AV76" i="10"/>
  <c r="BC76" i="10"/>
  <c r="M30" i="18"/>
  <c r="L47" i="18"/>
  <c r="L12" i="18"/>
  <c r="M33" i="26"/>
  <c r="L51" i="26"/>
  <c r="L12" i="26"/>
  <c r="BC58" i="10"/>
  <c r="AV58" i="10"/>
  <c r="BC37" i="26"/>
  <c r="AV37" i="26"/>
  <c r="M37" i="10"/>
  <c r="L30" i="14"/>
  <c r="L12" i="14"/>
  <c r="AV77" i="10"/>
  <c r="BC28" i="10"/>
  <c r="AV28" i="10"/>
  <c r="M13" i="10"/>
  <c r="AU53" i="10"/>
  <c r="AV109" i="10"/>
  <c r="BC109" i="10"/>
  <c r="AU18" i="14"/>
  <c r="BC15" i="22"/>
  <c r="AV15" i="22"/>
  <c r="AV21" i="26"/>
  <c r="BC21" i="26"/>
  <c r="M15" i="26"/>
  <c r="M12" i="26" s="1"/>
  <c r="M19" i="26"/>
  <c r="BC36" i="26"/>
  <c r="AV36" i="26"/>
  <c r="BC47" i="26"/>
  <c r="AV47" i="26"/>
  <c r="AU62" i="10"/>
  <c r="G175" i="5"/>
  <c r="P12" i="4"/>
  <c r="M85" i="10"/>
  <c r="BC91" i="10"/>
  <c r="AV80" i="10"/>
  <c r="BC80" i="10"/>
  <c r="AV44" i="18"/>
  <c r="BC44" i="18"/>
  <c r="AU43" i="18"/>
  <c r="AU36" i="18"/>
  <c r="J68" i="10"/>
  <c r="AU25" i="10"/>
  <c r="AV90" i="10"/>
  <c r="BC90" i="10"/>
  <c r="AU42" i="10"/>
  <c r="AV114" i="10"/>
  <c r="BC114" i="10"/>
  <c r="AV16" i="18"/>
  <c r="BC16" i="18"/>
  <c r="AV32" i="18"/>
  <c r="BC32" i="18"/>
  <c r="AU13" i="18"/>
  <c r="K12" i="14"/>
  <c r="J20" i="18"/>
  <c r="M43" i="26"/>
  <c r="AV29" i="26"/>
  <c r="BC29" i="26"/>
  <c r="AV52" i="10"/>
  <c r="BC52" i="10"/>
  <c r="AV75" i="10"/>
  <c r="AV25" i="14"/>
  <c r="BC25" i="14"/>
  <c r="AU13" i="26"/>
  <c r="C27" i="24"/>
  <c r="AV84" i="10"/>
  <c r="BC84" i="10"/>
  <c r="C22" i="16"/>
  <c r="AU19" i="26"/>
  <c r="AV113" i="10"/>
  <c r="BC113" i="10"/>
  <c r="AV81" i="10"/>
  <c r="BC81" i="10"/>
  <c r="AV106" i="10"/>
  <c r="BC106" i="10"/>
  <c r="M36" i="18"/>
  <c r="BC25" i="18"/>
  <c r="AV25" i="18"/>
  <c r="AU43" i="26"/>
  <c r="BC23" i="10"/>
  <c r="AV23" i="10"/>
  <c r="BC47" i="10"/>
  <c r="AV47" i="10"/>
  <c r="L116" i="10"/>
  <c r="L12" i="10"/>
  <c r="BC60" i="10"/>
  <c r="AV60" i="10"/>
  <c r="M68" i="10"/>
  <c r="AV95" i="10"/>
  <c r="BC95" i="10"/>
  <c r="M20" i="18"/>
  <c r="M47" i="18" s="1"/>
  <c r="AU93" i="10"/>
  <c r="M26" i="14"/>
  <c r="M12" i="14" s="1"/>
  <c r="AV22" i="18"/>
  <c r="BC22" i="18"/>
  <c r="BC17" i="18"/>
  <c r="AV17" i="18"/>
  <c r="BC25" i="26"/>
  <c r="AV25" i="26"/>
  <c r="BC41" i="26"/>
  <c r="AV41" i="26"/>
  <c r="AU37" i="10"/>
  <c r="AV99" i="10"/>
  <c r="BC99" i="10"/>
  <c r="M30" i="14"/>
  <c r="AV19" i="14"/>
  <c r="BC19" i="14"/>
  <c r="M40" i="18"/>
  <c r="AV38" i="18"/>
  <c r="BC38" i="18"/>
  <c r="M43" i="18"/>
  <c r="AV17" i="26"/>
  <c r="BC17" i="26"/>
  <c r="J33" i="26"/>
  <c r="J12" i="26" s="1"/>
  <c r="BC70" i="10"/>
  <c r="AV70" i="10"/>
  <c r="J12" i="18"/>
  <c r="AU30" i="18"/>
  <c r="C27" i="12"/>
  <c r="AU33" i="26"/>
  <c r="AV105" i="10"/>
  <c r="BC105" i="10"/>
  <c r="AV34" i="26"/>
  <c r="BC34" i="26"/>
  <c r="F27" i="12" l="1"/>
  <c r="I26" i="12"/>
  <c r="I27" i="12" s="1"/>
  <c r="F27" i="24"/>
  <c r="I26" i="24"/>
  <c r="I27" i="24" s="1"/>
  <c r="F27" i="8"/>
  <c r="I26" i="8"/>
  <c r="I27" i="8" s="1"/>
  <c r="G18" i="22"/>
  <c r="BJ175" i="5"/>
  <c r="L175" i="5"/>
  <c r="BI175" i="5"/>
  <c r="AG175" i="5" s="1"/>
  <c r="K175" i="5"/>
  <c r="BH175" i="5"/>
  <c r="AF175" i="5" s="1"/>
  <c r="AW175" i="5"/>
  <c r="G176" i="5"/>
  <c r="O175" i="5"/>
  <c r="J175" i="5"/>
  <c r="AX175" i="5"/>
  <c r="M116" i="10"/>
  <c r="M12" i="10"/>
  <c r="M51" i="26"/>
  <c r="M12" i="18"/>
  <c r="BF175" i="5" l="1"/>
  <c r="K170" i="5"/>
  <c r="K169" i="5" s="1"/>
  <c r="J15" i="4" s="1"/>
  <c r="BI18" i="22"/>
  <c r="AG18" i="22" s="1"/>
  <c r="L18" i="22"/>
  <c r="BH18" i="22"/>
  <c r="AF18" i="22" s="1"/>
  <c r="AX18" i="22"/>
  <c r="O18" i="22"/>
  <c r="K18" i="22"/>
  <c r="AW18" i="22"/>
  <c r="J18" i="22"/>
  <c r="BJ18" i="22"/>
  <c r="G19" i="22"/>
  <c r="BI176" i="5"/>
  <c r="AG176" i="5" s="1"/>
  <c r="C19" i="2" s="1"/>
  <c r="K176" i="5"/>
  <c r="BH176" i="5"/>
  <c r="AF176" i="5" s="1"/>
  <c r="C18" i="2" s="1"/>
  <c r="AX176" i="5"/>
  <c r="O176" i="5"/>
  <c r="BF176" i="5" s="1"/>
  <c r="J176" i="5"/>
  <c r="J170" i="5" s="1"/>
  <c r="J169" i="5" s="1"/>
  <c r="I15" i="4" s="1"/>
  <c r="AW176" i="5"/>
  <c r="L176" i="5"/>
  <c r="L170" i="5" s="1"/>
  <c r="BJ176" i="5"/>
  <c r="AV175" i="5"/>
  <c r="BC175" i="5"/>
  <c r="M175" i="5"/>
  <c r="AL175" i="5"/>
  <c r="C22" i="2" l="1"/>
  <c r="L169" i="5"/>
  <c r="K15" i="4" s="1"/>
  <c r="P15" i="4" s="1"/>
  <c r="K17" i="4" s="1"/>
  <c r="L216" i="5"/>
  <c r="BC18" i="22"/>
  <c r="AV18" i="22"/>
  <c r="O170" i="5"/>
  <c r="O169" i="5" s="1"/>
  <c r="L15" i="4" s="1"/>
  <c r="BJ19" i="22"/>
  <c r="BI19" i="22"/>
  <c r="AG19" i="22" s="1"/>
  <c r="L19" i="22"/>
  <c r="BH19" i="22"/>
  <c r="AF19" i="22" s="1"/>
  <c r="C18" i="20" s="1"/>
  <c r="C22" i="20" s="1"/>
  <c r="AX19" i="22"/>
  <c r="O19" i="22"/>
  <c r="BF19" i="22" s="1"/>
  <c r="K19" i="22"/>
  <c r="AW19" i="22"/>
  <c r="J19" i="22"/>
  <c r="J13" i="22" s="1"/>
  <c r="J12" i="22" s="1"/>
  <c r="K13" i="22"/>
  <c r="K12" i="22" s="1"/>
  <c r="AL18" i="22"/>
  <c r="M18" i="22"/>
  <c r="L13" i="22"/>
  <c r="M176" i="5"/>
  <c r="AL176" i="5"/>
  <c r="AU170" i="5" s="1"/>
  <c r="BC176" i="5"/>
  <c r="AV176" i="5"/>
  <c r="M170" i="5"/>
  <c r="BF18" i="22"/>
  <c r="O13" i="22"/>
  <c r="O12" i="22" s="1"/>
  <c r="C19" i="20"/>
  <c r="M169" i="5" l="1"/>
  <c r="M216" i="5"/>
  <c r="AU13" i="22"/>
  <c r="C29" i="2"/>
  <c r="M19" i="22"/>
  <c r="AL19" i="22"/>
  <c r="C27" i="20" s="1"/>
  <c r="AV19" i="22"/>
  <c r="BC19" i="22"/>
  <c r="L20" i="22"/>
  <c r="L12" i="22"/>
  <c r="M13" i="22"/>
  <c r="M20" i="22" l="1"/>
  <c r="M12" i="22"/>
  <c r="F29" i="2"/>
  <c r="I28" i="2"/>
  <c r="I29" i="2" s="1"/>
  <c r="F27" i="20"/>
  <c r="I26" i="20"/>
  <c r="I27" i="20" s="1"/>
</calcChain>
</file>

<file path=xl/sharedStrings.xml><?xml version="1.0" encoding="utf-8"?>
<sst xmlns="http://schemas.openxmlformats.org/spreadsheetml/2006/main" count="9450" uniqueCount="938">
  <si>
    <t>Osnova pro vyplnění-rozpočtu.</t>
  </si>
  <si>
    <t>Název stavby:</t>
  </si>
  <si>
    <t>Objednatel:</t>
  </si>
  <si>
    <t>IČO/DIČ:</t>
  </si>
  <si>
    <t>Druh stavby:</t>
  </si>
  <si>
    <t>Projektant:</t>
  </si>
  <si>
    <t>02531496/</t>
  </si>
  <si>
    <t>Lokalita:</t>
  </si>
  <si>
    <t>Zhotovitel:</t>
  </si>
  <si>
    <t>Začátek výstavby:</t>
  </si>
  <si>
    <t>Konec výstavby:</t>
  </si>
  <si>
    <t>Položek:</t>
  </si>
  <si>
    <t>JKSO:</t>
  </si>
  <si>
    <t>Zpracoval:</t>
  </si>
  <si>
    <t>Datum:</t>
  </si>
  <si>
    <t>1)Ocenit rozpočet je nejlépe tak, že se ocení cenami nejprve položky hlavního rozpočtu a automatický se samy přepíši dle vzorců  listů(objektů) .(V případě zamčených buněk ocenit nezamčené neobarvené buňky v hlavním rozpočtu)</t>
  </si>
  <si>
    <t>2)K soutěži, pokud nebude v zadávací dokumentaci uvedeno jinak, stačí vyplnit a odevzdat vytištěné a podepsané listy(soupisy prací a dodávek-rozpočtů) první části barevně neoznačené(krycí list,objekty,rekapitulace-skupin a podskupin,hlavní soupis prací a dodávek-rozpočet)  . Ostatní v elektronické podobě.</t>
  </si>
  <si>
    <t>3)Upozorňuji na povinnost uchazeče si překontrolovat funkčnost vzorců.(Může dojít při přepisu na elektronická média či vlastních výpočtech k porušení vztahů vzorců)U zamčených nezasahovat do struktury listů a buněk.</t>
  </si>
  <si>
    <r>
      <rPr>
        <sz val="10"/>
        <rFont val="Arial"/>
        <family val="2"/>
        <charset val="238"/>
      </rPr>
      <t>4</t>
    </r>
    <r>
      <rPr>
        <sz val="10"/>
        <color rgb="FF0000CC"/>
        <rFont val="Arial"/>
        <family val="2"/>
        <charset val="238"/>
      </rPr>
      <t>)Upozorňuji na vyplnění nejen ceny, ale i na rozepsání na dodávku a montáž.(např:omítky,betony apod.)</t>
    </r>
  </si>
  <si>
    <t>5)Upozorňuji na vyplnění VORN. Položky s nul.množstvím u pol.s % se vepisuje množství automaticky z cen položek.</t>
  </si>
  <si>
    <t>6)Upozorňuji na popisy a komentáře RTS(především zda je položka s materiálem , agregována a pod)</t>
  </si>
  <si>
    <t>7)Upozorňuji na informace u krycího listu rozpočtu/soupisu prací a dodávek</t>
  </si>
  <si>
    <t>Vyhotovil:</t>
  </si>
  <si>
    <t>Pohodová 326, 671 68 Šanov</t>
  </si>
  <si>
    <t>Autorizovaný technik pro pozemní stavby</t>
  </si>
  <si>
    <t>ČKIT – 1005850</t>
  </si>
  <si>
    <t>Mobil:602 757310</t>
  </si>
  <si>
    <t>bohuslav@rozpocty-hemala.cz</t>
  </si>
  <si>
    <t>www.rozpocty-hemala.cz</t>
  </si>
  <si>
    <t>Odkaz na ceníkovou soustavu použitou pro zpracování rozpočtu stránka 2.</t>
  </si>
  <si>
    <t>Krycí list soupisu prací a dodávek -rozpočtu</t>
  </si>
  <si>
    <t>Rozpočtové náklady v Kč</t>
  </si>
  <si>
    <t>A</t>
  </si>
  <si>
    <t>Základní rozpočtové náklady</t>
  </si>
  <si>
    <t>B</t>
  </si>
  <si>
    <t>Doplňkové náklady</t>
  </si>
  <si>
    <t>HSV</t>
  </si>
  <si>
    <t>Dodávky</t>
  </si>
  <si>
    <t>Práce přesčas</t>
  </si>
  <si>
    <t>Montáž</t>
  </si>
  <si>
    <t>Bez pevné podl.</t>
  </si>
  <si>
    <t>PSV</t>
  </si>
  <si>
    <t>Kulturní památka</t>
  </si>
  <si>
    <t>"M"</t>
  </si>
  <si>
    <t>Ostatní materiál</t>
  </si>
  <si>
    <t>Přesun hmot a sutí</t>
  </si>
  <si>
    <t>ZRN celkem</t>
  </si>
  <si>
    <t>DN celkem</t>
  </si>
  <si>
    <t>DN celkem z obj.</t>
  </si>
  <si>
    <t>Základ 0%</t>
  </si>
  <si>
    <t>Základ 12%</t>
  </si>
  <si>
    <t>DPH 12%</t>
  </si>
  <si>
    <t>Celkem bez DPH</t>
  </si>
  <si>
    <t>Základ 21%</t>
  </si>
  <si>
    <t>DPH 21%</t>
  </si>
  <si>
    <t>Celkem včetně DPH</t>
  </si>
  <si>
    <t>Projektant</t>
  </si>
  <si>
    <t>Objednatel</t>
  </si>
  <si>
    <t>Zhotovitel</t>
  </si>
  <si>
    <t>Datum, razítko a podpis</t>
  </si>
  <si>
    <t>Informace pro uchazeče k VŘ:</t>
  </si>
  <si>
    <t xml:space="preserve">a) veškeré položky na přípomoci, dopravu, montáž, montážní plochy atd. jsou zahrnuty do jednotlivých jednotkových cen. </t>
  </si>
  <si>
    <t xml:space="preserve">b) součásti prací jsou veškeré zkoušky, potřebná měření, inspekce, uvedení zařízení do provozu, zaškolení obsluhy, provozní řády, manuály a revize v českém jazyce. Za komplexní vyzkoušení se považuje bezporuchový provoz po dobu minimálně 96 hod. </t>
  </si>
  <si>
    <t xml:space="preserve">c) součástí dodávky je zpracování veškeré dokumentace zhotovitele (např. dílenská dokumentace) a dokumentace skutečného provedení. </t>
  </si>
  <si>
    <t xml:space="preserve">d) součástí dodávky je kompletní dokladová část díla nutná k získání kolaudačního souhlasu stavby. </t>
  </si>
  <si>
    <t xml:space="preserve">e) v rozsahu prací zhotovitele jsou rovněž jakékoliv prvky, zařízení, práce a pomocné materiály, neuvedené v tomto soupisu výkonů, které jsou ale nezbytně nutné k dodání, instalaci, dokončení a provozování díla, včetně ztratného a prořezů. </t>
  </si>
  <si>
    <t xml:space="preserve">f) součástí dodávky jsou veškerá geodetická měření jako například vytyčení konstrukcí, kontrolní měření, zaměření skutečného stavu apod. </t>
  </si>
  <si>
    <t xml:space="preserve">g) součástí dodávky jsou i náklady na případná  opatření související s ochranou stávajících sítí, komunikací či staveb.  </t>
  </si>
  <si>
    <t xml:space="preserve">h) součástí jednotkových cen jsou i vícenáklady související s výstavbou v nepříznivém klimat. období, průběžný úklid staveniště a přilehlých komunikací, likvidaci odpadů, dočasná dopravní omezení atd. </t>
  </si>
  <si>
    <t>i)pokud se v dokumentaci vyskytují obchodní názvy, jedná se pouze o vymezení minimálních požadovaných standardů výrobku, technologie či materiálu a zadavatel připouští použití i jiného, kvalitativně či technologicky obdobného řešení.</t>
  </si>
  <si>
    <t xml:space="preserve">j) součástí dodávky jsou náklady spojené s povinným pojištěním stavebního díla či jeho části v rozsahu obchodních podmínek. </t>
  </si>
  <si>
    <t> </t>
  </si>
  <si>
    <t>Nedílnou součástí výkazu výměr (slepého rozpočtu) je projektová dokumentace !!</t>
  </si>
  <si>
    <t>Zpracovatel nabídky  je povinen prověřit specifikace a výměry uvedené ve výkazu výměr. V případě zjištěných rozdílů má na tyto rozdíly upozornit ve lhůtě pro podání nabídek prostřednictvím žádosti o dodatečné informace k zadávacím podmínkám.</t>
  </si>
  <si>
    <t>Vedlejší a ostatní rozpočtové náklady</t>
  </si>
  <si>
    <t>Vedlejší rozpočtové náklady VRN</t>
  </si>
  <si>
    <t>Doplňkové náklady DN</t>
  </si>
  <si>
    <t>Kč</t>
  </si>
  <si>
    <t>%</t>
  </si>
  <si>
    <t>Základna</t>
  </si>
  <si>
    <t>Celkem DN</t>
  </si>
  <si>
    <t>Náklady na umístění stavby (NUS)</t>
  </si>
  <si>
    <t>Zařízení staveniště</t>
  </si>
  <si>
    <t>Mimostav. doprava</t>
  </si>
  <si>
    <t>Územní vlivy</t>
  </si>
  <si>
    <t>Provozní vlivy</t>
  </si>
  <si>
    <t>Ostatní</t>
  </si>
  <si>
    <t>NUS z rozpočtu</t>
  </si>
  <si>
    <t>Celkem NUS</t>
  </si>
  <si>
    <t>Celkem VRN</t>
  </si>
  <si>
    <t>Ostatní rozpočtové náklady ORN</t>
  </si>
  <si>
    <t>Ostatní rozpočtové náklady (ORN)</t>
  </si>
  <si>
    <t>Celkem ORN</t>
  </si>
  <si>
    <t>Soupis prací a dodávek  rekapitulace objektů celkem</t>
  </si>
  <si>
    <t>Doba výstavby:</t>
  </si>
  <si>
    <t>Zpracováno dne:</t>
  </si>
  <si>
    <t xml:space="preserve"> </t>
  </si>
  <si>
    <t>Náklady (Kč)</t>
  </si>
  <si>
    <t>Hmotnost (t)</t>
  </si>
  <si>
    <t>Objekt</t>
  </si>
  <si>
    <t>Zkrácený popis</t>
  </si>
  <si>
    <t>Dodávka</t>
  </si>
  <si>
    <t>Celkem</t>
  </si>
  <si>
    <t>SO 01.1</t>
  </si>
  <si>
    <t>Postupná demolice panelového domu</t>
  </si>
  <si>
    <t>F</t>
  </si>
  <si>
    <t>SO 01.2</t>
  </si>
  <si>
    <t>Odstranění chodníků a hrubé zarovnání po výkopech</t>
  </si>
  <si>
    <t>SO 01.3</t>
  </si>
  <si>
    <t>Zbourání vstupní zdi a úprava všech ploch ornicí</t>
  </si>
  <si>
    <t>VORN</t>
  </si>
  <si>
    <t>Vedlejší a rozpočtové náklady</t>
  </si>
  <si>
    <t>ZS</t>
  </si>
  <si>
    <t>Celkem:</t>
  </si>
  <si>
    <t>Soupis prací a dodávek – Stavební rozpočet</t>
  </si>
  <si>
    <t>DEMOLICE PANELOVÉHO DOMU V HORNÍM PARKU</t>
  </si>
  <si>
    <t>MĚSTO ZNOJMO</t>
  </si>
  <si>
    <t>Ing.  Roman Zvěřina, Dolní Česká 358/25, 669 02 Znojmo</t>
  </si>
  <si>
    <t>k.ú.Znojmo-město parc.č.258/5</t>
  </si>
  <si>
    <t>80331</t>
  </si>
  <si>
    <t>16.05.2025</t>
  </si>
  <si>
    <t>Bohuslav Hemala</t>
  </si>
  <si>
    <t>Č</t>
  </si>
  <si>
    <t>Kód</t>
  </si>
  <si>
    <t>MJ</t>
  </si>
  <si>
    <t>Množství</t>
  </si>
  <si>
    <t>Cena/MJ</t>
  </si>
  <si>
    <t>Sazba</t>
  </si>
  <si>
    <t>Cenová</t>
  </si>
  <si>
    <t>ISWORK</t>
  </si>
  <si>
    <t>GROUPCODE</t>
  </si>
  <si>
    <t>VATTAX</t>
  </si>
  <si>
    <t>Rozměry</t>
  </si>
  <si>
    <t>(Kč)</t>
  </si>
  <si>
    <t xml:space="preserve">  DPH</t>
  </si>
  <si>
    <t>Celkem vč. DPH</t>
  </si>
  <si>
    <t>Jednot.</t>
  </si>
  <si>
    <t>soustava</t>
  </si>
  <si>
    <t>Přesuny</t>
  </si>
  <si>
    <t>Typ skupiny</t>
  </si>
  <si>
    <t>HSV mat</t>
  </si>
  <si>
    <t>HSV prac</t>
  </si>
  <si>
    <t>PSV mat</t>
  </si>
  <si>
    <t>PSV prac</t>
  </si>
  <si>
    <t>Mont mat</t>
  </si>
  <si>
    <t>Mont prac</t>
  </si>
  <si>
    <t>Ostatní mat.</t>
  </si>
  <si>
    <t>MAT</t>
  </si>
  <si>
    <t>WORK</t>
  </si>
  <si>
    <t>CELK</t>
  </si>
  <si>
    <t>712</t>
  </si>
  <si>
    <t>Izolace střech (živičné krytiny)</t>
  </si>
  <si>
    <t>1</t>
  </si>
  <si>
    <t>712300832RT3</t>
  </si>
  <si>
    <t>Odstranění povlakové krytiny střech do 10° 2vrstvé</t>
  </si>
  <si>
    <t>m2</t>
  </si>
  <si>
    <t>RTS I / 2025</t>
  </si>
  <si>
    <t>7</t>
  </si>
  <si>
    <t>712_</t>
  </si>
  <si>
    <t>SO 01.1_71_</t>
  </si>
  <si>
    <t>SO 01.1_</t>
  </si>
  <si>
    <t>P</t>
  </si>
  <si>
    <t>2</t>
  </si>
  <si>
    <t>712300833RT3</t>
  </si>
  <si>
    <t>Odstranění povlakové krytiny střech do 10° 3vrstvé</t>
  </si>
  <si>
    <t>713</t>
  </si>
  <si>
    <t>Izolace tepelné</t>
  </si>
  <si>
    <t>3</t>
  </si>
  <si>
    <t>713100824R00</t>
  </si>
  <si>
    <t>Odstr. tepelné izolace, kombidesky 1str. nad 5 cm</t>
  </si>
  <si>
    <t>713_</t>
  </si>
  <si>
    <t>721</t>
  </si>
  <si>
    <t>Vnitřní kanalizace</t>
  </si>
  <si>
    <t>4</t>
  </si>
  <si>
    <t>721140802R00</t>
  </si>
  <si>
    <t>Demontáž potrubí litinového DN 100</t>
  </si>
  <si>
    <t>m</t>
  </si>
  <si>
    <t>721_</t>
  </si>
  <si>
    <t>SO 01.1_72_</t>
  </si>
  <si>
    <t>5</t>
  </si>
  <si>
    <t>721171808R00</t>
  </si>
  <si>
    <t>Demontáž potrubí z PVC do D 114 mm</t>
  </si>
  <si>
    <t>6</t>
  </si>
  <si>
    <t>721171803R00</t>
  </si>
  <si>
    <t>Demontáž potrubí z PVC do D 75 mm</t>
  </si>
  <si>
    <t>722</t>
  </si>
  <si>
    <t>Vnitřní vodovod</t>
  </si>
  <si>
    <t>722130802R00</t>
  </si>
  <si>
    <t>Demontáž potrubí ocelových závitových DN 40</t>
  </si>
  <si>
    <t>722_</t>
  </si>
  <si>
    <t>8</t>
  </si>
  <si>
    <t>722130801R00</t>
  </si>
  <si>
    <t>Demontáž potrubí ocelových závitových DN 25</t>
  </si>
  <si>
    <t>725</t>
  </si>
  <si>
    <t>Zařizovací předměty</t>
  </si>
  <si>
    <t>9</t>
  </si>
  <si>
    <t>725220851R00</t>
  </si>
  <si>
    <t>Demontáž van včetně vybourání obezdezdívky</t>
  </si>
  <si>
    <t>ks</t>
  </si>
  <si>
    <t>725_</t>
  </si>
  <si>
    <t>10</t>
  </si>
  <si>
    <t>725110814R00</t>
  </si>
  <si>
    <t>Demontáž klozetů kombinovaných</t>
  </si>
  <si>
    <t>11</t>
  </si>
  <si>
    <t>725240812R00</t>
  </si>
  <si>
    <t>Demontáž sprchových mís bez výtokových armatur</t>
  </si>
  <si>
    <t>12</t>
  </si>
  <si>
    <t>725310821R00</t>
  </si>
  <si>
    <t>Demontáž dřezů jednodílných na konzolách</t>
  </si>
  <si>
    <t>13</t>
  </si>
  <si>
    <t>725290020RA0</t>
  </si>
  <si>
    <t>Demontáž umyvadla včetně baterie a konzol</t>
  </si>
  <si>
    <t>kus</t>
  </si>
  <si>
    <t>14</t>
  </si>
  <si>
    <t>725240811R00</t>
  </si>
  <si>
    <t>Demontáž sprchových kabin bez výtokových armatur</t>
  </si>
  <si>
    <t>733</t>
  </si>
  <si>
    <t>Rozvod potrubí</t>
  </si>
  <si>
    <t>15</t>
  </si>
  <si>
    <t>733120815R00</t>
  </si>
  <si>
    <t>Demontáž potrubí z hladkých trubek D 38</t>
  </si>
  <si>
    <t>733_</t>
  </si>
  <si>
    <t>SO 01.1_73_</t>
  </si>
  <si>
    <t>16</t>
  </si>
  <si>
    <t>733120819R00</t>
  </si>
  <si>
    <t>Demontáž potrubí z hladkých trubek D 60,3</t>
  </si>
  <si>
    <t>735</t>
  </si>
  <si>
    <t>Otopná tělesa</t>
  </si>
  <si>
    <t>17</t>
  </si>
  <si>
    <t>735111810R00</t>
  </si>
  <si>
    <t>Demontáž těles otopných litinových článkových</t>
  </si>
  <si>
    <t>735_</t>
  </si>
  <si>
    <t>762</t>
  </si>
  <si>
    <t>Konstrukce tesařské</t>
  </si>
  <si>
    <t>18</t>
  </si>
  <si>
    <t>762900010RA0</t>
  </si>
  <si>
    <t>Demontáž koupelnových stěn včetně obložení a dveří(umakart a pod.)</t>
  </si>
  <si>
    <t>762_</t>
  </si>
  <si>
    <t>SO 01.1_76_</t>
  </si>
  <si>
    <t>19</t>
  </si>
  <si>
    <t>762111811R00</t>
  </si>
  <si>
    <t>Demontáž stěn z hranolků, fošen nebo latí-kóje</t>
  </si>
  <si>
    <t>764</t>
  </si>
  <si>
    <t>Konstrukce klempířské</t>
  </si>
  <si>
    <t>20</t>
  </si>
  <si>
    <t>764321820R00</t>
  </si>
  <si>
    <t>Demontáž oplechování říms, rš 500 mm, do 30°</t>
  </si>
  <si>
    <t>764_</t>
  </si>
  <si>
    <t>766</t>
  </si>
  <si>
    <t>Konstrukce truhlářské</t>
  </si>
  <si>
    <t>21</t>
  </si>
  <si>
    <t>766900020RA0</t>
  </si>
  <si>
    <t>Demontáž obložení podhledů</t>
  </si>
  <si>
    <t>766_</t>
  </si>
  <si>
    <t>22</t>
  </si>
  <si>
    <t>766662811R00</t>
  </si>
  <si>
    <t>Demontáž prahů dveří 1křídlových</t>
  </si>
  <si>
    <t>23</t>
  </si>
  <si>
    <t>766825811R00</t>
  </si>
  <si>
    <t>Demontáž vestavěných skříní 1křídlových</t>
  </si>
  <si>
    <t>24</t>
  </si>
  <si>
    <t>766825821R00</t>
  </si>
  <si>
    <t>Demontáž vestavěných skříní 2křídlových</t>
  </si>
  <si>
    <t>25</t>
  </si>
  <si>
    <t>766812840R00</t>
  </si>
  <si>
    <t>Demontáž kuchyňských linek do 2,1 m</t>
  </si>
  <si>
    <t>767</t>
  </si>
  <si>
    <t>Konstrukce doplňkové stavební (zámečnické)</t>
  </si>
  <si>
    <t>26</t>
  </si>
  <si>
    <t>767132811R00</t>
  </si>
  <si>
    <t>Demontáž příček z plechu, šroubovaných</t>
  </si>
  <si>
    <t>767_</t>
  </si>
  <si>
    <t>27</t>
  </si>
  <si>
    <t>767135831R00</t>
  </si>
  <si>
    <t>Demontáž roštu pro obložení</t>
  </si>
  <si>
    <t>776</t>
  </si>
  <si>
    <t>Podlahy povlakové</t>
  </si>
  <si>
    <t>28</t>
  </si>
  <si>
    <t>776510010RA0</t>
  </si>
  <si>
    <t>Demontáž povlakových podlah z nášlapné plochy a soklíků</t>
  </si>
  <si>
    <t>776_</t>
  </si>
  <si>
    <t>SO 01.1_77_</t>
  </si>
  <si>
    <t>90</t>
  </si>
  <si>
    <t>Hodinové zúčtovací sazby (HZS)</t>
  </si>
  <si>
    <t>29</t>
  </si>
  <si>
    <t>909      R00</t>
  </si>
  <si>
    <t>Odstranění VZT prvků (rozvody,ventilátory,potrubí,turbína a kryt oplechování krčků a pod.)</t>
  </si>
  <si>
    <t>h</t>
  </si>
  <si>
    <t>90_</t>
  </si>
  <si>
    <t>SO 01.1_9_</t>
  </si>
  <si>
    <t>30</t>
  </si>
  <si>
    <t>Odstranění elektroinstalačních prvků(telefony,kamna,světla,rozvaděče i se skříněmi,lišty s rozvody,hromosvod a pod.))</t>
  </si>
  <si>
    <t>31</t>
  </si>
  <si>
    <t>Odstranění ZTI(včetně topení) prvků neuvedených samostatně</t>
  </si>
  <si>
    <t>32</t>
  </si>
  <si>
    <t>Odstranění rozvodů plynoistalace</t>
  </si>
  <si>
    <t>33</t>
  </si>
  <si>
    <t>905      R02</t>
  </si>
  <si>
    <t>Součinnost s vlastníkem rozvodů plynoinstalace a jeho zaslepení za hranicí pozemku(i základní vytýčení rozvodů)</t>
  </si>
  <si>
    <t>34</t>
  </si>
  <si>
    <t>Součinnost s vlastníkem rozvodů lektroinstalací(slabo i silnoprod) a jeho ukončení za hranicí pozemku(i základní vytýčení rozvodů)</t>
  </si>
  <si>
    <t>35</t>
  </si>
  <si>
    <t>Odstranění sutě vnitřních prostor neuvedené samostatně(rolety,žaluzie,výlez a pod.)</t>
  </si>
  <si>
    <t>36</t>
  </si>
  <si>
    <t>Odstranění sutě vnitřních prostor neuvedené samostatně(vyklizení spotřebný materiál_krabice,nábytek a pod. a pod.)</t>
  </si>
  <si>
    <t>94</t>
  </si>
  <si>
    <t>Lešení a stavební výtahy</t>
  </si>
  <si>
    <t>37</t>
  </si>
  <si>
    <t>944943174R00</t>
  </si>
  <si>
    <t>Geotextílie netkaná na podlahu lešení, 1 vrstva</t>
  </si>
  <si>
    <t>94_</t>
  </si>
  <si>
    <t>38</t>
  </si>
  <si>
    <t>944946811R00</t>
  </si>
  <si>
    <t>Odstranění textilie z lešeňových podlah</t>
  </si>
  <si>
    <t>39</t>
  </si>
  <si>
    <t>943955031R00</t>
  </si>
  <si>
    <t>Montáž lešeňové podlahy_jen podlážky otočené stužením(pásky) na horu na geotextilii  H do 10 m_sousední střecha</t>
  </si>
  <si>
    <t>40</t>
  </si>
  <si>
    <t>943955831R00</t>
  </si>
  <si>
    <t>Demontáž leš. podlahy</t>
  </si>
  <si>
    <t>41</t>
  </si>
  <si>
    <t>999281108R00</t>
  </si>
  <si>
    <t>Přesun hmot pro opravy a údržbu do výšky 12 m</t>
  </si>
  <si>
    <t>t</t>
  </si>
  <si>
    <t>96</t>
  </si>
  <si>
    <t>Bourání konstrukcí</t>
  </si>
  <si>
    <t>42</t>
  </si>
  <si>
    <t>968061112R00</t>
  </si>
  <si>
    <t>Vyvěšení dřevěných okenních křídel pl. do 1,5 m2</t>
  </si>
  <si>
    <t>96_</t>
  </si>
  <si>
    <t>43</t>
  </si>
  <si>
    <t>968061113R00</t>
  </si>
  <si>
    <t>Vyvěšení dřevěných okenních křídel pl. nad 1,5 m2</t>
  </si>
  <si>
    <t>44</t>
  </si>
  <si>
    <t>968072455R00</t>
  </si>
  <si>
    <t>Vybourání kovových dveřních zárubní pl. do 2 m2</t>
  </si>
  <si>
    <t>45</t>
  </si>
  <si>
    <t>968061125R00</t>
  </si>
  <si>
    <t>Vyvěšení dřevěných dveřních křídel pl. do 2 m2</t>
  </si>
  <si>
    <t>46</t>
  </si>
  <si>
    <t>968062246R00</t>
  </si>
  <si>
    <t>Vybourání dřevěných rámů oken jednoduch. pl. 4 m2</t>
  </si>
  <si>
    <t>47</t>
  </si>
  <si>
    <t>968062245R00</t>
  </si>
  <si>
    <t>Vybourání dřevěných rámů oken jednoduch. pl. 2 m2</t>
  </si>
  <si>
    <t>48</t>
  </si>
  <si>
    <t>968071125R00</t>
  </si>
  <si>
    <t>Vyvěšení, zavěšení kovových křídel dveří pl. 2 m2</t>
  </si>
  <si>
    <t>49</t>
  </si>
  <si>
    <t>968072456R00</t>
  </si>
  <si>
    <t>Vybourání kovových dveřních zárubní pl. nad 2 m2</t>
  </si>
  <si>
    <t>50</t>
  </si>
  <si>
    <t>968072244R00</t>
  </si>
  <si>
    <t>Vybourání kovových rámů oken jednod. pl. 1 m2</t>
  </si>
  <si>
    <t>51</t>
  </si>
  <si>
    <t>968071112R00</t>
  </si>
  <si>
    <t>Vyvěšení, zavěšení kovových křídel oken pl. 1,5 m2</t>
  </si>
  <si>
    <t>52</t>
  </si>
  <si>
    <t>968095001R00</t>
  </si>
  <si>
    <t>Bourání parapetů dřevěných š. do 25 cm</t>
  </si>
  <si>
    <t>53</t>
  </si>
  <si>
    <t>962031123R00</t>
  </si>
  <si>
    <t>Bourání příček z cihel pálených děrovan. tl. 80 mm</t>
  </si>
  <si>
    <t>54</t>
  </si>
  <si>
    <t>962032432R00</t>
  </si>
  <si>
    <t>Bourání zdiva z dutých cihel nebo tvárnic na MVC</t>
  </si>
  <si>
    <t>m3</t>
  </si>
  <si>
    <t>55</t>
  </si>
  <si>
    <t>965200021RAA</t>
  </si>
  <si>
    <t>Odstranění násypů pod podlahami a na střechách</t>
  </si>
  <si>
    <t>56</t>
  </si>
  <si>
    <t>961044111R00</t>
  </si>
  <si>
    <t>Bourání základů z betonu prostého</t>
  </si>
  <si>
    <t>57</t>
  </si>
  <si>
    <t>965042241RT5</t>
  </si>
  <si>
    <t>Bourání mazanin betonových tl. nad 10 cm, nad 4 m2</t>
  </si>
  <si>
    <t>97</t>
  </si>
  <si>
    <t>Prorážení otvorů a ostatní bourací práce</t>
  </si>
  <si>
    <t>58</t>
  </si>
  <si>
    <t>976071111R00</t>
  </si>
  <si>
    <t>Vybourání kovových zábradlí a madel</t>
  </si>
  <si>
    <t>97_</t>
  </si>
  <si>
    <t>59</t>
  </si>
  <si>
    <t>976076111R00</t>
  </si>
  <si>
    <t>Vybourání kovových schránek, firemních štítů</t>
  </si>
  <si>
    <t>60</t>
  </si>
  <si>
    <t>976083141R00</t>
  </si>
  <si>
    <t>Vybourání škrabáků,konzol apod.ze zdiva betonového</t>
  </si>
  <si>
    <t>98</t>
  </si>
  <si>
    <t>Demolice</t>
  </si>
  <si>
    <t>61</t>
  </si>
  <si>
    <t>981511114R00</t>
  </si>
  <si>
    <t>Demolice konstrukcí postup.rozebráním, železobeton-obvodové stěny</t>
  </si>
  <si>
    <t>98_</t>
  </si>
  <si>
    <t>62</t>
  </si>
  <si>
    <t>Demolice konstrukcí postup.rozebráním, železobeton-vnitřní stěny</t>
  </si>
  <si>
    <t>63</t>
  </si>
  <si>
    <t>Demolice konstrukcí postup.rozebráním, železobeton-stropní konstrukce(i podlahy),balkony a schody</t>
  </si>
  <si>
    <t>S</t>
  </si>
  <si>
    <t>Přesuny sutí</t>
  </si>
  <si>
    <t>64</t>
  </si>
  <si>
    <t>979999983R00</t>
  </si>
  <si>
    <t>Poplatek za recyklaci cihel kusovost do 1600 cm2 (skup.170102)</t>
  </si>
  <si>
    <t>S_</t>
  </si>
  <si>
    <t>65</t>
  </si>
  <si>
    <t>979999981R00</t>
  </si>
  <si>
    <t>Poplatek za recyklaci betonu kusovost do 1600 cm2 (skup.170101)</t>
  </si>
  <si>
    <t>66</t>
  </si>
  <si>
    <t>979999999R00</t>
  </si>
  <si>
    <t>Poplatek za recyklaci suť do 10 % příměsí (skup.170107)</t>
  </si>
  <si>
    <t>67</t>
  </si>
  <si>
    <t>979990181R00</t>
  </si>
  <si>
    <t>Poplatek za uložení suti - PVC podlahová krytina, skupina odpadu 200307</t>
  </si>
  <si>
    <t>68</t>
  </si>
  <si>
    <t>979990191R00</t>
  </si>
  <si>
    <t>Poplatek za uložení suti - plastové výrobky, skupina odpadu 170203</t>
  </si>
  <si>
    <t>69</t>
  </si>
  <si>
    <t>979990162R00</t>
  </si>
  <si>
    <t>Poplatek za uložení suti - dřevo+sklo, skupina odpadu 170904</t>
  </si>
  <si>
    <t>70</t>
  </si>
  <si>
    <t>979990163R00</t>
  </si>
  <si>
    <t>Poplatek za uložení suti - plast + sklo, skupina odpadu 170904</t>
  </si>
  <si>
    <t>71</t>
  </si>
  <si>
    <t>979990161R00</t>
  </si>
  <si>
    <t>Poplatek za likvidaci (spalovna) - dřevo</t>
  </si>
  <si>
    <t>72</t>
  </si>
  <si>
    <t>979990141R00</t>
  </si>
  <si>
    <t>Poplatek za uložení suti - polystyren+omítka, skupina odpadu 170604</t>
  </si>
  <si>
    <t>73</t>
  </si>
  <si>
    <t>979990121R00</t>
  </si>
  <si>
    <t>Poplatek za uložení suti - asfaltové pásy, skupina odpadu 170302</t>
  </si>
  <si>
    <t>74</t>
  </si>
  <si>
    <t>979999979R00</t>
  </si>
  <si>
    <t>Poplatek za recyklaci, beton silně vyztužený, kusovost do 1600 cm2 (skup.170101)</t>
  </si>
  <si>
    <t>75</t>
  </si>
  <si>
    <t>979999984R00</t>
  </si>
  <si>
    <t>Poplatek za recyklaci  - stavební keramika</t>
  </si>
  <si>
    <t>76</t>
  </si>
  <si>
    <t>979011111R00</t>
  </si>
  <si>
    <t>Svislá doprava suti a vybour. hmot za 2.NP a 1.PP</t>
  </si>
  <si>
    <t>77</t>
  </si>
  <si>
    <t>979011121R00</t>
  </si>
  <si>
    <t>Příplatek za každé další podlaží</t>
  </si>
  <si>
    <t>78</t>
  </si>
  <si>
    <t>979082111R00</t>
  </si>
  <si>
    <t>Vnitrostaveništní doprava suti do 10 m</t>
  </si>
  <si>
    <t>79</t>
  </si>
  <si>
    <t>979082121R00</t>
  </si>
  <si>
    <t>Příplatek k vnitrost. dopravě suti za dalších 5 m</t>
  </si>
  <si>
    <t>80</t>
  </si>
  <si>
    <t>979094211R00</t>
  </si>
  <si>
    <t>Nakládání nebo překládání vybourané suti</t>
  </si>
  <si>
    <t>81</t>
  </si>
  <si>
    <t>979081111R00</t>
  </si>
  <si>
    <t>Odvoz suti a vybour. hmot na skládku do 1 km</t>
  </si>
  <si>
    <t>82</t>
  </si>
  <si>
    <t>979081121R00</t>
  </si>
  <si>
    <t>Příplatek k odvozu za každý další 1 km</t>
  </si>
  <si>
    <t>83</t>
  </si>
  <si>
    <t>979951121R00</t>
  </si>
  <si>
    <t>Výkup kovů - litina, velikost do 40 x 40 cm</t>
  </si>
  <si>
    <t>84</t>
  </si>
  <si>
    <t>979951111R00</t>
  </si>
  <si>
    <t>Výkup kovů - železný šrot tl. do 4 mm</t>
  </si>
  <si>
    <t>85</t>
  </si>
  <si>
    <t>979951161R00</t>
  </si>
  <si>
    <t>Výkup kovů - zinek, plechy</t>
  </si>
  <si>
    <t>Přípravné a přidružené práce</t>
  </si>
  <si>
    <t>86</t>
  </si>
  <si>
    <t>113107615R00</t>
  </si>
  <si>
    <t>Odstranění podkladu nad 50 m2,kam.drcené tl.15 cm</t>
  </si>
  <si>
    <t>11_</t>
  </si>
  <si>
    <t>SO 01.2_1_</t>
  </si>
  <si>
    <t>SO 01.2_</t>
  </si>
  <si>
    <t>Přemístění výkopku</t>
  </si>
  <si>
    <t>87</t>
  </si>
  <si>
    <t>162301102R00</t>
  </si>
  <si>
    <t>Vodorovné přemístění výkopku z hor.1-4 do 1000 m</t>
  </si>
  <si>
    <t>16_</t>
  </si>
  <si>
    <t>88</t>
  </si>
  <si>
    <t>162701109R00</t>
  </si>
  <si>
    <t>Příplatek k vod. přemístění hor.1-4 za další 1 km</t>
  </si>
  <si>
    <t>Konstrukce ze zemin</t>
  </si>
  <si>
    <t>89</t>
  </si>
  <si>
    <t>174201101R00</t>
  </si>
  <si>
    <t>Zásyp jam, rýh, šachet bez zhutnění(jen po bouraní základů)</t>
  </si>
  <si>
    <t>17_</t>
  </si>
  <si>
    <t>5832111</t>
  </si>
  <si>
    <t>Zemina recyklovaná Stavozem 0/32, hutnitelná do zásypů_po základech</t>
  </si>
  <si>
    <t>M</t>
  </si>
  <si>
    <t>91</t>
  </si>
  <si>
    <t>SO 01.2_9_</t>
  </si>
  <si>
    <t>92</t>
  </si>
  <si>
    <t>93</t>
  </si>
  <si>
    <t>Vybourání kovových zábradlí a madel(venkovní)</t>
  </si>
  <si>
    <t>95</t>
  </si>
  <si>
    <t>111201101R00</t>
  </si>
  <si>
    <t>Odstranění křovin i s kořeny na ploše do 1000 m2</t>
  </si>
  <si>
    <t>SO 01.3_1_</t>
  </si>
  <si>
    <t>SO 01.3_</t>
  </si>
  <si>
    <t>112101113R00</t>
  </si>
  <si>
    <t>Kácení stromů listnatých průměru 40 cm, svah 1:5</t>
  </si>
  <si>
    <t>99</t>
  </si>
  <si>
    <t>112201113R00</t>
  </si>
  <si>
    <t>Odstranění pařezů o průměru do 40 cm, svah 1:5</t>
  </si>
  <si>
    <t>100</t>
  </si>
  <si>
    <t>111251111R00</t>
  </si>
  <si>
    <t>Drcení ořezaných větví průměru do 10 cm</t>
  </si>
  <si>
    <t>Odkopávky a prokopávky</t>
  </si>
  <si>
    <t>101</t>
  </si>
  <si>
    <t>122101101R00</t>
  </si>
  <si>
    <t>Odkopávky nezapažené v hor. 2 do 100 m3</t>
  </si>
  <si>
    <t>12_</t>
  </si>
  <si>
    <t>102</t>
  </si>
  <si>
    <t>103</t>
  </si>
  <si>
    <t>104</t>
  </si>
  <si>
    <t>105</t>
  </si>
  <si>
    <t>106</t>
  </si>
  <si>
    <t>107</t>
  </si>
  <si>
    <t>108</t>
  </si>
  <si>
    <t>Zásyp jam, rýh, šachet bez zhutnění(svah u bourané zdi bez ornice)</t>
  </si>
  <si>
    <t>109</t>
  </si>
  <si>
    <t>Zemina recyklovaná Stavozem 0/32 nebo podorniční zemina bez hutnění _svaz od bourané zdi</t>
  </si>
  <si>
    <t>Povrchové úpravy terénu</t>
  </si>
  <si>
    <t>110</t>
  </si>
  <si>
    <t>181301106R00</t>
  </si>
  <si>
    <t>Rozprostření ornice, rovina, tl. 30-40 cm,do 500m2</t>
  </si>
  <si>
    <t>18_</t>
  </si>
  <si>
    <t>111</t>
  </si>
  <si>
    <t>5832011</t>
  </si>
  <si>
    <t>Zemina zahradní, netříděná,Vhodná k úpravě zahrad, parků</t>
  </si>
  <si>
    <t>112</t>
  </si>
  <si>
    <t>182101101R00</t>
  </si>
  <si>
    <t>Svahování v zářezech v hor. 1 - 4</t>
  </si>
  <si>
    <t>113</t>
  </si>
  <si>
    <t>767920820R00</t>
  </si>
  <si>
    <t>Demontáž vrat k oplocení plochy do 6 m2</t>
  </si>
  <si>
    <t>SO 01.3_76_</t>
  </si>
  <si>
    <t>114</t>
  </si>
  <si>
    <t>961021311R00</t>
  </si>
  <si>
    <t>Bourání základů ze zdiva kamenného</t>
  </si>
  <si>
    <t>SO 01.3_9_</t>
  </si>
  <si>
    <t>115</t>
  </si>
  <si>
    <t>962023391R00</t>
  </si>
  <si>
    <t>Bourání zdiva nadzákladového smíšeného na MVC</t>
  </si>
  <si>
    <t>116</t>
  </si>
  <si>
    <t>962032231R00</t>
  </si>
  <si>
    <t>Bourání zdiva z cihel pálených na MVC(včetně stříšek a fasádních prvků)</t>
  </si>
  <si>
    <t>M22</t>
  </si>
  <si>
    <t>Montáže sdělovací a zabezpečovací techniky</t>
  </si>
  <si>
    <t>117</t>
  </si>
  <si>
    <t>222040711R00</t>
  </si>
  <si>
    <t>Odvoz větví a kmenů do 1 km</t>
  </si>
  <si>
    <t>M22_</t>
  </si>
  <si>
    <t>118</t>
  </si>
  <si>
    <t>222040712R00</t>
  </si>
  <si>
    <t>Odvoz větví za každý další km</t>
  </si>
  <si>
    <t>119</t>
  </si>
  <si>
    <t>120</t>
  </si>
  <si>
    <t>121</t>
  </si>
  <si>
    <t>Poplatek za recyklaci cihel,kámen kusovost do 1600 cm2 (skup.170102)</t>
  </si>
  <si>
    <t>Montážní přirážky</t>
  </si>
  <si>
    <t>122</t>
  </si>
  <si>
    <t>220890084R00</t>
  </si>
  <si>
    <t>Předání a převzetí staveniště,Náklady spojené s účastí zhotovitele na předání a převzetí staveniště.</t>
  </si>
  <si>
    <t>M_</t>
  </si>
  <si>
    <t>VORN_9_</t>
  </si>
  <si>
    <t>VORN_</t>
  </si>
  <si>
    <t>123</t>
  </si>
  <si>
    <t>Inženýrská činnost dodavatele – práce spojené s realizací předání dokončené stavby(doklady uložení sutí a zemin,příp.revize a pod.)</t>
  </si>
  <si>
    <t>124</t>
  </si>
  <si>
    <t>Dílenská dokumentace-postupů bourání mimo pref.skelet( zabezpečování prací na kontaktních stěnách)</t>
  </si>
  <si>
    <t>125</t>
  </si>
  <si>
    <t>Geometrické zaměření stavby po výstavbě včetně protokolu a geometrického plánu nové plochy a nových inž.sítí</t>
  </si>
  <si>
    <t>126</t>
  </si>
  <si>
    <t>110      R00</t>
  </si>
  <si>
    <t>Mimostaveništní doprava mimostaveništní doprava (vč. DIO -zpracování a projednání, řízení dopravy,přístuvé cesty parkem ,doprava zaměstnanců a pod.)</t>
  </si>
  <si>
    <t>127</t>
  </si>
  <si>
    <t>201      R00</t>
  </si>
  <si>
    <t>Koordinační a kompletační činnost generálního dodavatele</t>
  </si>
  <si>
    <t>128</t>
  </si>
  <si>
    <t>181050010RA0</t>
  </si>
  <si>
    <t>Terénní modelace-všechny úpravy , likvidace zařízení staveniště,výsev trávy a pod.</t>
  </si>
  <si>
    <t>ZS_1_</t>
  </si>
  <si>
    <t>ZS_</t>
  </si>
  <si>
    <t>Různé kompletní konstrukce nedělitelné do stav. dílů</t>
  </si>
  <si>
    <t>129</t>
  </si>
  <si>
    <t>381181001R00</t>
  </si>
  <si>
    <t>Montáža demontáž mobilních buněk, WC,sklad a pod. samostatně stojících</t>
  </si>
  <si>
    <t>38_</t>
  </si>
  <si>
    <t>ZS_3_</t>
  </si>
  <si>
    <t>130</t>
  </si>
  <si>
    <t>430-pronájem</t>
  </si>
  <si>
    <t>Pronájem buněk pro soc.zařízení a sklady</t>
  </si>
  <si>
    <t>měsíc</t>
  </si>
  <si>
    <t>131</t>
  </si>
  <si>
    <t>430-pronájem WC</t>
  </si>
  <si>
    <t>Pronájem WC zařízení (předpoklad)</t>
  </si>
  <si>
    <t>Podkladní vrstvy komunikací, letišť a ploch</t>
  </si>
  <si>
    <t>132</t>
  </si>
  <si>
    <t>900      R00</t>
  </si>
  <si>
    <t>2ks_Dočasné utěsnění silniční v pusti proti  zasypání a zpětné odtranění dočasného utěsnéní_překrytí viz.PD</t>
  </si>
  <si>
    <t>56_</t>
  </si>
  <si>
    <t>ZS_5_</t>
  </si>
  <si>
    <t>133</t>
  </si>
  <si>
    <t>568111112R00</t>
  </si>
  <si>
    <t>Zřízení vrstvy z geotextilie skl.do 1:5,š.do 7,5 m</t>
  </si>
  <si>
    <t>134</t>
  </si>
  <si>
    <t>69370522</t>
  </si>
  <si>
    <t>Geotextilie netkaná  HQ PP 500 g/m2 viz.PD</t>
  </si>
  <si>
    <t>135</t>
  </si>
  <si>
    <t>564112325R00</t>
  </si>
  <si>
    <t>Podklad z betonového recyklátu frakce 32-63, tloušťky 250 mm, po zhutnění</t>
  </si>
  <si>
    <t>136</t>
  </si>
  <si>
    <t>564112205R00</t>
  </si>
  <si>
    <t>Podklad z bet.recyklátu fr.16-32 po zhutn.tl.5 cm</t>
  </si>
  <si>
    <t>137</t>
  </si>
  <si>
    <t>113109630R00</t>
  </si>
  <si>
    <t>Odstranění podkladu pl.nad 50m2,bet.recykl,tl.30cm</t>
  </si>
  <si>
    <t>138</t>
  </si>
  <si>
    <t>998222012R00</t>
  </si>
  <si>
    <t>Přesun hmot, zpevněné plochy, kryt z kameniva_doprava i zpět</t>
  </si>
  <si>
    <t>139</t>
  </si>
  <si>
    <t>998222199R00</t>
  </si>
  <si>
    <t>Přesun hmot, plochy kamenivo, přípl. za další 1km,_doprava i zpět</t>
  </si>
  <si>
    <t>140</t>
  </si>
  <si>
    <t>Poplatek za navrácení recyklátu _k recyklaci betonu_třídění na jinou frakci a pod.</t>
  </si>
  <si>
    <t>141</t>
  </si>
  <si>
    <t>711170101R00</t>
  </si>
  <si>
    <t>Odstranění znečištěné geotextilie_podklad pod šterkem</t>
  </si>
  <si>
    <t>142</t>
  </si>
  <si>
    <t>143</t>
  </si>
  <si>
    <t>144</t>
  </si>
  <si>
    <t>145</t>
  </si>
  <si>
    <t>767914130R00</t>
  </si>
  <si>
    <t>Montáž oplocení rámového H do 2,0 m</t>
  </si>
  <si>
    <t>ZS_76_</t>
  </si>
  <si>
    <t>146</t>
  </si>
  <si>
    <t>767914830R00</t>
  </si>
  <si>
    <t>Demontáž oplocení rámového H do 2 m</t>
  </si>
  <si>
    <t>147</t>
  </si>
  <si>
    <t>553424601</t>
  </si>
  <si>
    <t>Panel plotový mobilní F2 pozink 3455 x 2000 mm(jen amortizace_pronájem za použití a pod.po dobu prov.stav.úprav)</t>
  </si>
  <si>
    <t>148</t>
  </si>
  <si>
    <t>553424602</t>
  </si>
  <si>
    <t>Křídlo branky mobilní 2000 x 2000 mm(jen amortizace_pronájem za použití a pod.po dobu prov.stav.úprav)</t>
  </si>
  <si>
    <t>149</t>
  </si>
  <si>
    <t>59261030</t>
  </si>
  <si>
    <t>Podstavec mobilního oplocení plastbetonový 680 x 250 mm(jen amortizace_pronájem za použití a pod.po dobu prov.stav.úprav)</t>
  </si>
  <si>
    <t>150</t>
  </si>
  <si>
    <t>553424607</t>
  </si>
  <si>
    <t>Klíč k bezpečnostnímu spojovacímu prvku pozink(jen amortizace_pronájem za použití a pod.po dobu prov.stav.úprav)</t>
  </si>
  <si>
    <t>151</t>
  </si>
  <si>
    <t>553424606</t>
  </si>
  <si>
    <t>Prvek spojovací mobilní bezpečnostní, pozink(jen amortizace_pronájem za použití a pod.po dobu prov.stav.úprav)</t>
  </si>
  <si>
    <t>152</t>
  </si>
  <si>
    <t>553424603</t>
  </si>
  <si>
    <t>Závěs otočný mobilní, pozink(jen amortizace_pronájem za použití a pod.po dobu prov.stav.úprav)</t>
  </si>
  <si>
    <t>153</t>
  </si>
  <si>
    <t>999281105R00</t>
  </si>
  <si>
    <t>Přesun hmot pro opravy a údržbu do výšky 6 m</t>
  </si>
  <si>
    <t>H01</t>
  </si>
  <si>
    <t>Budovy občanské výstavby</t>
  </si>
  <si>
    <t>154</t>
  </si>
  <si>
    <t>998014205R00</t>
  </si>
  <si>
    <t>Přesun hmot, mobilní buňky, příplatek do 5 km</t>
  </si>
  <si>
    <t>H01_</t>
  </si>
  <si>
    <t>ZS_9_</t>
  </si>
  <si>
    <t>155</t>
  </si>
  <si>
    <t>998014206R00</t>
  </si>
  <si>
    <t>Přesun hmot, mobilní buňky, přípl. za dalších 5 km</t>
  </si>
  <si>
    <t>156</t>
  </si>
  <si>
    <t>030001VRN</t>
  </si>
  <si>
    <t>Zařízení staveniště_kompletní ostatní neuvedené v položkách</t>
  </si>
  <si>
    <t>sada</t>
  </si>
  <si>
    <t>157</t>
  </si>
  <si>
    <t>039002VRN</t>
  </si>
  <si>
    <t>Odstranění zařízení staveniště_kompletní _ostatní neuvedené v položkách</t>
  </si>
  <si>
    <t>158</t>
  </si>
  <si>
    <t>220110583R00</t>
  </si>
  <si>
    <t>M_Provizorní rozvaděč s měřením pro ZS a popř.stoje včetně připojení</t>
  </si>
  <si>
    <t>159</t>
  </si>
  <si>
    <t>35712201A</t>
  </si>
  <si>
    <t>Dodávka_Provizorní rozvaděč s měřením pro ZS a popř.stoje včetně připojení</t>
  </si>
  <si>
    <t>Výkaz výměr</t>
  </si>
  <si>
    <t>Potřebné množství</t>
  </si>
  <si>
    <t>N</t>
  </si>
  <si>
    <t>11,25*14,4</t>
  </si>
  <si>
    <t>162</t>
  </si>
  <si>
    <t>polsid střecha</t>
  </si>
  <si>
    <t>1+4</t>
  </si>
  <si>
    <t>1,5*0,6*8*2+2*0,6*3</t>
  </si>
  <si>
    <t>(3,46+2,5*2+1,65*2)*2*2</t>
  </si>
  <si>
    <t>0,92*3*2,625+1,09*2,625</t>
  </si>
  <si>
    <t>11,25*2+14,45*2</t>
  </si>
  <si>
    <t>střecha</t>
  </si>
  <si>
    <t>2,5*1,65*4</t>
  </si>
  <si>
    <t>2*2</t>
  </si>
  <si>
    <t>3*2</t>
  </si>
  <si>
    <t>47,04</t>
  </si>
  <si>
    <t>16,5</t>
  </si>
  <si>
    <t>(141,7-16,9)*2</t>
  </si>
  <si>
    <t>14*1,2*3</t>
  </si>
  <si>
    <t>50,4</t>
  </si>
  <si>
    <t>0,7137</t>
  </si>
  <si>
    <t>1*5*2</t>
  </si>
  <si>
    <t>2 a3 NP</t>
  </si>
  <si>
    <t>2*3*2+5*2</t>
  </si>
  <si>
    <t>0,8*1,97*6+0,6*1,97*2</t>
  </si>
  <si>
    <t>1NP</t>
  </si>
  <si>
    <t>8*2</t>
  </si>
  <si>
    <t>2+3</t>
  </si>
  <si>
    <t>6+2</t>
  </si>
  <si>
    <t>2NP</t>
  </si>
  <si>
    <t>1,5*1,6*5*2</t>
  </si>
  <si>
    <t>1,2*1,6*3*2+1,2*1,6*3*2+0,6*1,6*5*2</t>
  </si>
  <si>
    <t>1,5*2,15+1,45*1,97</t>
  </si>
  <si>
    <t>0,5*0,8*6</t>
  </si>
  <si>
    <t>2,1*5*2+2,1*3*2</t>
  </si>
  <si>
    <t>(1,5*3+0,9*3)*2,72-0,6*2*3</t>
  </si>
  <si>
    <t>(3,46*2+1*2+2)*2,72*0,2</t>
  </si>
  <si>
    <t>dozdívkové zdivo a niky</t>
  </si>
  <si>
    <t>162*(0,03+0,175)/2</t>
  </si>
  <si>
    <t>0,5*1,2*(11,25*5+14,78*3+3,6*5)</t>
  </si>
  <si>
    <t>na kótu -126</t>
  </si>
  <si>
    <t>11,25*14,45*0,16</t>
  </si>
  <si>
    <t>podlaha i podkladní deska</t>
  </si>
  <si>
    <t>2,75*4+1,2*5+1,2</t>
  </si>
  <si>
    <t>schodiště</t>
  </si>
  <si>
    <t>1,2*4*2+2,6*4</t>
  </si>
  <si>
    <t>balkony</t>
  </si>
  <si>
    <t>(11,25*2+14,78*2+1,16*2)*0,26*(8,985-0,09)</t>
  </si>
  <si>
    <t>obvodové panely</t>
  </si>
  <si>
    <t>-(1,5*2,15+0,8*0,5*6)</t>
  </si>
  <si>
    <t>otvory 1NP</t>
  </si>
  <si>
    <t>(4,625+5,965+0,14)*3*2,72*0,14-0,8*2*3*0,14-1,45*2*0,14</t>
  </si>
  <si>
    <t>středové panely 1NP</t>
  </si>
  <si>
    <t>(3,46*2,72-0,8*2)*0,14</t>
  </si>
  <si>
    <t>(3,46*2+3,46+2,12*3)*2,72*0,08-0,8*2*0,08*2</t>
  </si>
  <si>
    <t>(4,625+5,965+0,14)*3*2*2,8*0,14-0,8*2*5*0,14*2</t>
  </si>
  <si>
    <t>středové panely 2-3NP</t>
  </si>
  <si>
    <t>(3,46*2)*2,8*0,14*2-0,8*2*0,14*2</t>
  </si>
  <si>
    <t>(3,46*2+0,6*2+1,21)*2,8*2*0,08-0,8*2*2,8*0,08*2</t>
  </si>
  <si>
    <t>(11,25*14,78-2,2*3,46)*2*0,18+11,25*14,78*0,12</t>
  </si>
  <si>
    <t>stropy i lodžie</t>
  </si>
  <si>
    <t>2,75*4*1,25*0,25</t>
  </si>
  <si>
    <t>1,2*3,6*4*0,2</t>
  </si>
  <si>
    <t>2,4723+6,986</t>
  </si>
  <si>
    <t>142,308+57,222</t>
  </si>
  <si>
    <t>23,247</t>
  </si>
  <si>
    <t>násyp střechy</t>
  </si>
  <si>
    <t>0,2696</t>
  </si>
  <si>
    <t>2,6098</t>
  </si>
  <si>
    <t>umakartové stěny</t>
  </si>
  <si>
    <t>0,6701+1,0445</t>
  </si>
  <si>
    <t>dřevo sklo-okna a balk.dveře</t>
  </si>
  <si>
    <t>0,1633+0,3893</t>
  </si>
  <si>
    <t>okna a dveře -sklo,ocel a těsnění plast</t>
  </si>
  <si>
    <t>0,224</t>
  </si>
  <si>
    <t>koje</t>
  </si>
  <si>
    <t>0,0432</t>
  </si>
  <si>
    <t>prahy</t>
  </si>
  <si>
    <t>0,3524+0,6624+0,396</t>
  </si>
  <si>
    <t>skříně a linky</t>
  </si>
  <si>
    <t>0,504</t>
  </si>
  <si>
    <t>dvěrě vnitřní</t>
  </si>
  <si>
    <t>0,3720</t>
  </si>
  <si>
    <t>parapety</t>
  </si>
  <si>
    <t>2,025</t>
  </si>
  <si>
    <t>polsid</t>
  </si>
  <si>
    <t>1,62+2,268</t>
  </si>
  <si>
    <t>ze střechy</t>
  </si>
  <si>
    <t>605,7307</t>
  </si>
  <si>
    <t>0,977</t>
  </si>
  <si>
    <t>862,807/3*1</t>
  </si>
  <si>
    <t>287,602</t>
  </si>
  <si>
    <t>9,458+23,247+0,27+2,61+1,715+0,553+2,554+2,025+3,888+0,977</t>
  </si>
  <si>
    <t>47,297*2</t>
  </si>
  <si>
    <t>47,297</t>
  </si>
  <si>
    <t>859,6569</t>
  </si>
  <si>
    <t>uvedené množství z položek bourání</t>
  </si>
  <si>
    <t>0,5</t>
  </si>
  <si>
    <t>VZT</t>
  </si>
  <si>
    <t>0,95</t>
  </si>
  <si>
    <t>elektroinstalace</t>
  </si>
  <si>
    <t>ZTI a top.</t>
  </si>
  <si>
    <t>0,2</t>
  </si>
  <si>
    <t>plyn</t>
  </si>
  <si>
    <t>ostatní neuvedené</t>
  </si>
  <si>
    <t>862,807*8</t>
  </si>
  <si>
    <t>0,2984</t>
  </si>
  <si>
    <t>potrubí odpadní</t>
  </si>
  <si>
    <t>0,4284</t>
  </si>
  <si>
    <t>radiátory</t>
  </si>
  <si>
    <t>1,4974</t>
  </si>
  <si>
    <t>zábradlí,škabáky a schránky</t>
  </si>
  <si>
    <t>0,3149+0,2379</t>
  </si>
  <si>
    <t>rozvod topení a vody</t>
  </si>
  <si>
    <t>1,015</t>
  </si>
  <si>
    <t>rošty</t>
  </si>
  <si>
    <t>0,219</t>
  </si>
  <si>
    <t>oplechování říms</t>
  </si>
  <si>
    <t>11,25*14,78</t>
  </si>
  <si>
    <t>panelák</t>
  </si>
  <si>
    <t>-0,5*(11,25*5+14,78*3+3,6*5)*0,15</t>
  </si>
  <si>
    <t>základy</t>
  </si>
  <si>
    <t>1,5*15*2</t>
  </si>
  <si>
    <t>pod chodníky</t>
  </si>
  <si>
    <t>71,154</t>
  </si>
  <si>
    <t>71,154*8</t>
  </si>
  <si>
    <t>71,154*1,6</t>
  </si>
  <si>
    <t>15*1,5*0,2</t>
  </si>
  <si>
    <t>chodník kámen beton ke vstupu</t>
  </si>
  <si>
    <t>za domem k brance</t>
  </si>
  <si>
    <t>10*0,5*1,2</t>
  </si>
  <si>
    <t>opěrka</t>
  </si>
  <si>
    <t>66,7857+31,8</t>
  </si>
  <si>
    <t>98,586*8</t>
  </si>
  <si>
    <t>98,586</t>
  </si>
  <si>
    <t>beton i štěrky</t>
  </si>
  <si>
    <t>320</t>
  </si>
  <si>
    <t>plocha po demolici i přilehlá celkem</t>
  </si>
  <si>
    <t>-15*1,5</t>
  </si>
  <si>
    <t>-11,25*14,78</t>
  </si>
  <si>
    <t>1,5</t>
  </si>
  <si>
    <t>108,725*0,4+21,5*(0+1,4)/2*2</t>
  </si>
  <si>
    <t>73,59</t>
  </si>
  <si>
    <t>odtěžená zemina</t>
  </si>
  <si>
    <t>73,59*8</t>
  </si>
  <si>
    <t>676,944*0,4</t>
  </si>
  <si>
    <t>ornice</t>
  </si>
  <si>
    <t>270,778*10</t>
  </si>
  <si>
    <t>24,8</t>
  </si>
  <si>
    <t>podorniční</t>
  </si>
  <si>
    <t>24,8*10</t>
  </si>
  <si>
    <t>15,5*(4,5+0,5+3)/3*(0,2+1)/2</t>
  </si>
  <si>
    <t>24,8*1,6</t>
  </si>
  <si>
    <t>bouraná bytovka</t>
  </si>
  <si>
    <t>(5,73+4,9)/2*(16+16,8)/2</t>
  </si>
  <si>
    <t>pravá stran i se zdí</t>
  </si>
  <si>
    <t>(4,05+4,8)/2*(8,10+8,4)/2</t>
  </si>
  <si>
    <t>spodní část i se zdí</t>
  </si>
  <si>
    <t>31,58</t>
  </si>
  <si>
    <t>horní část</t>
  </si>
  <si>
    <t>17,5*(5+1+3,5)/3</t>
  </si>
  <si>
    <t>za bouranou stěnou</t>
  </si>
  <si>
    <t>376,944*0,4*1,6</t>
  </si>
  <si>
    <t>;ztratné 10%; 24,1244</t>
  </si>
  <si>
    <t>376,944</t>
  </si>
  <si>
    <t>21,5*0,7*0,8</t>
  </si>
  <si>
    <t>vstupní stěna</t>
  </si>
  <si>
    <t>(21,5-1,8)*1,2</t>
  </si>
  <si>
    <t>21,5*3,5*0,65-2,3*1,7*0,65</t>
  </si>
  <si>
    <t>1,5*8</t>
  </si>
  <si>
    <t>0,21+167,3214</t>
  </si>
  <si>
    <t>167,531*8</t>
  </si>
  <si>
    <t>53,5272+30,1+83,6942</t>
  </si>
  <si>
    <t>460</t>
  </si>
  <si>
    <t>2*4</t>
  </si>
  <si>
    <t>1*4</t>
  </si>
  <si>
    <t>;ztratné 15%; 69</t>
  </si>
  <si>
    <t>601,1165</t>
  </si>
  <si>
    <t>600,852*10</t>
  </si>
  <si>
    <t>325,542</t>
  </si>
  <si>
    <t>0,6578</t>
  </si>
  <si>
    <t>0,658*10</t>
  </si>
  <si>
    <t>0,658</t>
  </si>
  <si>
    <t>kolem plochy</t>
  </si>
  <si>
    <t>26+21,5</t>
  </si>
  <si>
    <t>uzký vjezd</t>
  </si>
  <si>
    <t>117,5</t>
  </si>
  <si>
    <t>38+2</t>
  </si>
  <si>
    <t>38+2+38+2</t>
  </si>
  <si>
    <t>2,8561</t>
  </si>
  <si>
    <t>1,75*3</t>
  </si>
  <si>
    <t>1,75*10*3</t>
  </si>
  <si>
    <t>Varianta</t>
  </si>
  <si>
    <t>RTS komentář</t>
  </si>
  <si>
    <t>z ploch jednotlivě nad 20 m2</t>
  </si>
  <si>
    <t>V položce není kalkulován poplatek za skládku pro vybouranou suť. Tyto náklady se oceňují individuálně podle místních podmínek. Orientační hmotnost vybouraných konstrukcí je 0,055 t/m2 konstrukce.</t>
  </si>
  <si>
    <t>V položce není kalkulován poplatek za skládku pro vybouranou suť. Tyto náklady se oceňují individuálně podle místních podmínek. Orientační hmotnost vybouraných konstrukcí je 0,033 t/m2 konstrukce.</t>
  </si>
  <si>
    <t>Pro volbu položky demontáže kuchyňských linek je rozhodující délka horních skříněk</t>
  </si>
  <si>
    <t>V položce není kalkulován poplatek za skládku pro vybouranou suť. Tyto náklady se oceňují individuálně podle místních podmínek. Orientační hmotnost vybouraných konstrukcí je 0,001 t/m2 konstrukce.</t>
  </si>
  <si>
    <t>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 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t>
  </si>
  <si>
    <t>Položka je určena pro lešení na objektech jakékoliv výšky včetně ochranného lešení. Množství měrných jednotek se určuje v m vnějšího obvodu objektu v úrovni záchytného lešení</t>
  </si>
  <si>
    <t>Položka obsahuje náklady na vyvěšení křídel, jejich uložení a zpětné zavěšení po provedených stavebních úpravách. Položka se používá i pro vyvěšení křídel určených k likvidaci</t>
  </si>
  <si>
    <t>V položce není kalkulována manipulace se sutí, která se oceňuje samostatně položkami souboru 979. V položce není zakalkulováno vyvěšení dveřních křídel. Tyto práce se oceňují samostatně položkami souboru 968 06-11.. nebo 07-11.. Vyvěšení křídel.</t>
  </si>
  <si>
    <t>V položce není kalkulována manipulace se sutí, která se oceňuje samostatně položkami souboru 979. V položce není zakalkulováno vyvěšení křídel. Tyto práce se oceňují samostatně položkami souboru 968 06 -11 Vyvěšení dřevěvných křídel. Položka se používá pro okna pevná nebo s křídly otevíratelnými</t>
  </si>
  <si>
    <t>V položce není kalkulována manipulace se sutí, která se oceňuje samostatně položkami souboru 979. V položce není zakalkulováno vyvěšení křídel. Tyto práce se oceňují samostatně položkami souboru 968 07 -11 Vyvěšení kovových křídel. Položka se používá pro okna pevná nebo s křídly otevíratelnými</t>
  </si>
  <si>
    <t>V položce není kalkulována manipulace se sutí, která se oceňuje samostatně položkami souboru 979.</t>
  </si>
  <si>
    <t>V položce není kalkulována manipulace se sutí, která se oceňuje samostatně položkami souboru 979</t>
  </si>
  <si>
    <t>tloušťka 10 cm</t>
  </si>
  <si>
    <t>V položce není kalkulován poplatek za skládku pro vybouranou suť. Tyto náklady se oceňují individuálně podle místních podmínek. Orientační hmotnost vybouraných konstrukcí je 1,400 t/m3 konstrukce.</t>
  </si>
  <si>
    <t>pneumat. kladivo, tl. mazaniny 15 - 20 cm</t>
  </si>
  <si>
    <t xml:space="preserve">V položce není kalkulována manipulace se sutí, která se oceňuje samostatně položkami souboru 979. V položce nejsou zakalkulovány náklady na bourání podkladního lože pod mazaninou. Položka se používá pro bourání podlah z betonu prostého nebo litého asfaltu. Bourání případné výztuže v mazaninách se oceňuje položkami souboru 965 04 91.. Příplatek za bourání mazanin s výztuží. </t>
  </si>
  <si>
    <t xml:space="preserve">skupina 17 01 02 z Katalogu odpadů </t>
  </si>
  <si>
    <t>Okna, dveře atd</t>
  </si>
  <si>
    <t>Zateplovací systémy</t>
  </si>
  <si>
    <t>Položka je určena pro dopravu suti a vybouraných hmot za prvé podlaží nad nebo pod základním podlažím. Svislá doprava suti ze základního podlaží se neoceňuje. Základním podlažím je zpravidla přízemí</t>
  </si>
  <si>
    <t>Včetně případného složení na staveništní deponii</t>
  </si>
  <si>
    <t>Položka je určena i pro odstranění podkladů nebo krytů ze zemin stabilizovaných vápnem. Pro volbu položky z hlediska množství se uvažuje každá souvisle odstraňovaná plocha krytu nebo podkladu stejného druhu samostatně.Odstraňuje-li se několik vrstev vozovky najednou, jednotlivé vrstvy se oceňují každá samostatně</t>
  </si>
  <si>
    <t>Příplatek k ceně se používá za každý další i započatý 1 km nad 10 km.</t>
  </si>
  <si>
    <t>Položka obsahuje i přemístění materiálu pro zásyp ze vzdálenosti do 10 m od okraje zásypu.</t>
  </si>
  <si>
    <t xml:space="preserve">skupina 17 01 01 z Katalogu odpadů kusy do 40 x 40 cm </t>
  </si>
  <si>
    <t>Položka neobsahuje odstranění vytěženého porostu. Tyto práce se ocení samostatně buď jako spálení křovin nebo jako vodorovné přemístění na příslušnou vzdálenost. Položka je určena i pro odstranění stromů o průměru kmene do 10 cm. Součástí položky je i příp. nutné odklizení křovin a stromů na hromady do 50 m nebo s naložením na dopravní prostředek</t>
  </si>
  <si>
    <t>Položka se používá pro souvislé plochy do 500 m2.</t>
  </si>
  <si>
    <t>Vhodná k úpravě zahrad, parků</t>
  </si>
  <si>
    <t xml:space="preserve">skupina 17 01 02 z Katalogu odpadů  </t>
  </si>
  <si>
    <t>Vpichovaná netkaná textilie pro stavbu silnic, železnic, zemních staveb, tunelů, pro stavbu hrází, kanálů, odvodňovacích systémů pro funkci separační, filtrační, výztužnou, ochrannou a drenážní (S, F, R, P, D)  Materiálové složení: 100% polypropylenová střiž Barva: bíl</t>
  </si>
  <si>
    <t>Podklad z betonového recyklátu frakce 32-63 mm tl. 25 cm po zhutnění. Objemová hmotnost betonového recyklátu 1,9 t/m3 po zhutnění</t>
  </si>
  <si>
    <t>Podklad z betonového recyklátu frakce 16-32 mm tl. 5 cm po zhutnění. Objemová hmotnost betonového recyklátu 1,9 t/m3 po zhutnění</t>
  </si>
  <si>
    <t>Pro volbu položky z hlediska množství se uvažuje každá souvisle odstraňovaná plocha krytu nebo podkladu stejného druhu samostatně.Odstraňuje-li se několik vrstev vozovky najednou, jednotlivé vrstvy se oceňují každá samostatně</t>
  </si>
  <si>
    <t>Lehký mobilní panel, jednoduchá montáž K dočasnému oplocení stavenišť, veřejných shromáždění, sportovišť, při rekonstrukci domů a objektů.  Pro pevnější spojení panelů slouží mobilní spojovací prvek.  K instalaci mobilních panelů jsou vhodné betonové nebo plastbetonové podstavce.  Velikost oka: 100x260 mm Průměr drátu svislý/vodorovný: 3,3/3,3 m</t>
  </si>
  <si>
    <t>Podstavec je vyroben z recyklovaného PVC a má 5 otvorů. Mobilní podstavec slouží pro uchycení mobilních panelů F1 a F2.  Mobilní oplocení je vhodné všude tam, kde potřebujete vytvořit provizorní oplocení nebo dočasně ohraničit stavbu nebo výkop.  velikost otvorů v podstavci 4x kulatý 43 mm 1x čtvercový cca 60 x 60 m</t>
  </si>
  <si>
    <t>Krycí list rozpočtu (SO 01.1 - Postupná demolice panelového domu)</t>
  </si>
  <si>
    <t>C</t>
  </si>
  <si>
    <t>NUS celkem</t>
  </si>
  <si>
    <t>VORN celkem</t>
  </si>
  <si>
    <t>Vedlejší a ostatní rozpočtové náklady (SO 01.1 - Postupná demolice panelového domu)</t>
  </si>
  <si>
    <t>Stavební rozpočet (SO 01.1 - Postupná demolice panelového domu)</t>
  </si>
  <si>
    <t>Sazba DPH</t>
  </si>
  <si>
    <t>Výkaz výměr (SO 01.1 - Postupná demolice panelového domu)</t>
  </si>
  <si>
    <t>Krycí list rozpočtu (SO 01.2 - Odstranění chodníků a hrubé zarovnání po výkopech)</t>
  </si>
  <si>
    <t>Vedlejší a ostatní rozpočtové náklady (SO 01.2 - Odstranění chodníků a hrubé zarovnání po výkopech)</t>
  </si>
  <si>
    <t>Stavební rozpočet (SO 01.2 - Odstranění chodníků a hrubé zarovnání po výkopech)</t>
  </si>
  <si>
    <t>Výkaz výměr (SO 01.2 - Odstranění chodníků a hrubé zarovnání po výkopech)</t>
  </si>
  <si>
    <t>Krycí list rozpočtu (SO 01.3 - Zbourání vstupní zdi a úprava všech ploch ornicí)</t>
  </si>
  <si>
    <t>Vedlejší a ostatní rozpočtové náklady (SO 01.3 - Zbourání vstupní zdi a úprava všech ploch ornicí)</t>
  </si>
  <si>
    <t>Stavební rozpočet (SO 01.3 - Zbourání vstupní zdi a úprava všech ploch ornicí)</t>
  </si>
  <si>
    <t>Výkaz výměr (SO 01.3 - Zbourání vstupní zdi a úprava všech ploch ornicí)</t>
  </si>
  <si>
    <t>Krycí list rozpočtu (VORN - Vedlejší a rozpočtové náklady)</t>
  </si>
  <si>
    <t>Vedlejší a ostatní rozpočtové náklady (VORN - Vedlejší a rozpočtové náklady)</t>
  </si>
  <si>
    <t>Stavební rozpočet (VORN - Vedlejší a rozpočtové náklady)</t>
  </si>
  <si>
    <t>Výkaz výměr (VORN - Vedlejší a rozpočtové náklady)</t>
  </si>
  <si>
    <t>Krycí list rozpočtu (ZS - Zařízení staveniště)</t>
  </si>
  <si>
    <t>Vedlejší a ostatní rozpočtové náklady (ZS - Zařízení staveniště)</t>
  </si>
  <si>
    <t>Stavební rozpočet (ZS - Zařízení staveniště)</t>
  </si>
  <si>
    <t>Výkaz výměr (ZS - Zařízení staveniště)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</si>
</sst>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Kč-405];[Red]\-#,##0.00\ [$Kč-405]"/>
    <numFmt numFmtId="165" formatCode="0.000"/>
  </numFmts>
  <fonts count="25" x14ac:knownFonts="1">
    <font>
      <sz val="10"/>
      <name val="Arial"/>
      <family val="2"/>
      <charset val="238"/>
    </font>
    <font>
      <sz val="10"/>
      <name val="Arial"/>
      <charset val="238"/>
    </font>
    <font>
      <sz val="24"/>
      <color rgb="FF000000"/>
      <name val="Arial"/>
      <family val="2"/>
      <charset val="238"/>
    </font>
    <font>
      <sz val="10"/>
      <color rgb="FF000000"/>
      <name val="Arial"/>
      <charset val="238"/>
    </font>
    <font>
      <b/>
      <sz val="10"/>
      <color rgb="FF000000"/>
      <name val="Arial"/>
      <charset val="238"/>
    </font>
    <font>
      <sz val="10"/>
      <color rgb="FF000000"/>
      <name val="Arial"/>
      <family val="2"/>
      <charset val="238"/>
    </font>
    <font>
      <sz val="10"/>
      <color rgb="FF0000CC"/>
      <name val="Arial"/>
      <family val="2"/>
      <charset val="238"/>
    </font>
    <font>
      <sz val="10"/>
      <color rgb="FF800000"/>
      <name val="Arial"/>
      <charset val="238"/>
    </font>
    <font>
      <sz val="10"/>
      <color rgb="FF0000FF"/>
      <name val="Arial"/>
      <family val="2"/>
      <charset val="238"/>
    </font>
    <font>
      <sz val="11"/>
      <name val="Calibri"/>
      <charset val="1"/>
    </font>
    <font>
      <sz val="24"/>
      <color rgb="FF000000"/>
      <name val="Arial"/>
      <charset val="238"/>
    </font>
    <font>
      <sz val="18"/>
      <color rgb="FF000000"/>
      <name val="Arial"/>
      <charset val="238"/>
    </font>
    <font>
      <b/>
      <sz val="18"/>
      <color rgb="FF000000"/>
      <name val="Arial"/>
      <charset val="238"/>
    </font>
    <font>
      <b/>
      <sz val="20"/>
      <color rgb="FF000000"/>
      <name val="Arial"/>
      <charset val="238"/>
    </font>
    <font>
      <b/>
      <sz val="11"/>
      <color rgb="FF000000"/>
      <name val="Arial"/>
      <charset val="238"/>
    </font>
    <font>
      <b/>
      <sz val="12"/>
      <color rgb="FF000000"/>
      <name val="Arial"/>
      <charset val="238"/>
    </font>
    <font>
      <sz val="12"/>
      <color rgb="FF000000"/>
      <name val="Arial"/>
      <charset val="238"/>
    </font>
    <font>
      <u/>
      <sz val="10"/>
      <name val="Arial"/>
      <family val="2"/>
      <charset val="1"/>
    </font>
    <font>
      <i/>
      <sz val="10"/>
      <name val="Arial"/>
      <family val="2"/>
      <charset val="1"/>
    </font>
    <font>
      <sz val="10"/>
      <name val="Arial"/>
      <family val="2"/>
      <charset val="1"/>
    </font>
    <font>
      <sz val="14"/>
      <color rgb="FF000000"/>
      <name val="Arial"/>
      <charset val="238"/>
    </font>
    <font>
      <b/>
      <sz val="14"/>
      <color rgb="FF000000"/>
      <name val="Arial"/>
      <charset val="238"/>
    </font>
    <font>
      <sz val="10"/>
      <color rgb="FF0000FF"/>
      <name val="Arial"/>
      <charset val="238"/>
    </font>
    <font>
      <i/>
      <sz val="9"/>
      <color rgb="FF000000"/>
      <name val="Arial"/>
      <charset val="238"/>
    </font>
    <font>
      <i/>
      <sz val="9"/>
      <color rgb="FF0000FF"/>
      <name val="Arial"/>
      <charset val="238"/>
    </font>
  </fonts>
  <fills count="9">
    <fill>
      <patternFill patternType="none"/>
    </fill>
    <fill>
      <patternFill patternType="gray125"/>
    </fill>
    <fill>
      <patternFill patternType="solid">
        <fgColor rgb="FFC0C0C0"/>
        <bgColor rgb="FFD2B48C"/>
      </patternFill>
    </fill>
    <fill>
      <patternFill patternType="solid">
        <fgColor rgb="FFFF4500"/>
        <bgColor rgb="FFFF0000"/>
      </patternFill>
    </fill>
    <fill>
      <patternFill patternType="solid">
        <fgColor rgb="FFBDB76B"/>
        <bgColor rgb="FFD2B48C"/>
      </patternFill>
    </fill>
    <fill>
      <patternFill patternType="solid">
        <fgColor rgb="FFFFFF00"/>
        <bgColor rgb="FFFFFF00"/>
      </patternFill>
    </fill>
    <fill>
      <patternFill patternType="solid">
        <fgColor rgb="FF9932CC"/>
        <bgColor rgb="FF993366"/>
      </patternFill>
    </fill>
    <fill>
      <patternFill patternType="solid">
        <fgColor rgb="FFD2B48C"/>
        <bgColor rgb="FFBDB76B"/>
      </patternFill>
    </fill>
    <fill>
      <patternFill patternType="solid">
        <fgColor rgb="FF000000"/>
        <bgColor rgb="FF003300"/>
      </patternFill>
    </fill>
  </fills>
  <borders count="41">
    <border>
      <left/>
      <right/>
      <top/>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medium">
        <color auto="1"/>
      </right>
      <top style="medium">
        <color auto="1"/>
      </top>
      <bottom/>
      <diagonal/>
    </border>
    <border>
      <left/>
      <right style="medium">
        <color auto="1"/>
      </right>
      <top style="medium">
        <color auto="1"/>
      </top>
      <bottom/>
      <diagonal/>
    </border>
    <border>
      <left style="medium">
        <color auto="1"/>
      </left>
      <right style="medium">
        <color auto="1"/>
      </right>
      <top/>
      <bottom/>
      <diagonal/>
    </border>
    <border>
      <left/>
      <right style="medium">
        <color auto="1"/>
      </right>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diagonal/>
    </border>
    <border>
      <left/>
      <right/>
      <top style="medium">
        <color auto="1"/>
      </top>
      <bottom/>
      <diagonal/>
    </border>
    <border>
      <left style="medium">
        <color auto="1"/>
      </left>
      <right style="thin">
        <color auto="1"/>
      </right>
      <top/>
      <bottom style="medium">
        <color auto="1"/>
      </bottom>
      <diagonal/>
    </border>
    <border>
      <left/>
      <right/>
      <top/>
      <bottom style="medium">
        <color auto="1"/>
      </bottom>
      <diagonal/>
    </border>
    <border>
      <left/>
      <right style="thin">
        <color auto="1"/>
      </right>
      <top/>
      <bottom style="medium">
        <color auto="1"/>
      </bottom>
      <diagonal/>
    </border>
    <border>
      <left style="thin">
        <color auto="1"/>
      </left>
      <right style="thin">
        <color auto="1"/>
      </right>
      <top style="medium">
        <color auto="1"/>
      </top>
      <bottom/>
      <diagonal/>
    </border>
    <border>
      <left/>
      <right style="thin">
        <color auto="1"/>
      </right>
      <top style="medium">
        <color auto="1"/>
      </top>
      <bottom/>
      <diagonal/>
    </border>
    <border>
      <left style="thin">
        <color auto="1"/>
      </left>
      <right/>
      <top style="medium">
        <color auto="1"/>
      </top>
      <bottom/>
      <diagonal/>
    </border>
    <border>
      <left/>
      <right/>
      <top style="medium">
        <color auto="1"/>
      </top>
      <bottom style="thin">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s>
  <cellStyleXfs count="1">
    <xf numFmtId="0" fontId="0" fillId="0" borderId="0"/>
  </cellStyleXfs>
  <cellXfs count="217">
    <xf numFmtId="0" fontId="0" fillId="0" borderId="0" xfId="0"/>
    <xf numFmtId="0" fontId="3" fillId="0" borderId="8"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3" fillId="0" borderId="7" xfId="0" applyFont="1" applyBorder="1" applyAlignment="1">
      <alignment horizontal="left" vertical="center" wrapText="1"/>
    </xf>
    <xf numFmtId="1" fontId="3" fillId="0" borderId="6" xfId="0" applyNumberFormat="1" applyFont="1" applyBorder="1" applyAlignment="1">
      <alignment horizontal="left" vertical="center"/>
    </xf>
    <xf numFmtId="0" fontId="3" fillId="0" borderId="0" xfId="0" applyFont="1" applyAlignment="1">
      <alignment horizontal="left" vertical="center"/>
    </xf>
    <xf numFmtId="0" fontId="3" fillId="0" borderId="6" xfId="0" applyFont="1" applyBorder="1" applyAlignment="1">
      <alignment horizontal="left" vertical="center"/>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xf>
    <xf numFmtId="0" fontId="3" fillId="0" borderId="3" xfId="0" applyFont="1" applyBorder="1" applyAlignment="1">
      <alignment horizontal="left" vertical="center" wrapText="1"/>
    </xf>
    <xf numFmtId="0" fontId="4" fillId="0" borderId="3" xfId="0" applyFont="1" applyBorder="1" applyAlignment="1">
      <alignment horizontal="left" vertical="center" wrapText="1"/>
    </xf>
    <xf numFmtId="0" fontId="3" fillId="0" borderId="2" xfId="0" applyFont="1" applyBorder="1" applyAlignment="1">
      <alignment horizontal="left" vertical="center" wrapText="1"/>
    </xf>
    <xf numFmtId="49" fontId="2" fillId="0" borderId="1" xfId="0" applyNumberFormat="1" applyFont="1" applyBorder="1" applyAlignment="1">
      <alignment horizontal="center" vertical="center"/>
    </xf>
    <xf numFmtId="0" fontId="5" fillId="0" borderId="5" xfId="0" applyFont="1" applyBorder="1" applyAlignment="1">
      <alignment vertical="center"/>
    </xf>
    <xf numFmtId="0" fontId="3" fillId="0" borderId="0" xfId="0" applyFont="1" applyAlignment="1">
      <alignment horizontal="left" vertical="center" wrapText="1"/>
    </xf>
    <xf numFmtId="0" fontId="3" fillId="0" borderId="6" xfId="0" applyFont="1" applyBorder="1" applyAlignment="1">
      <alignment horizontal="left" vertical="center"/>
    </xf>
    <xf numFmtId="0" fontId="3" fillId="0" borderId="0" xfId="0" applyFont="1" applyAlignment="1">
      <alignment horizontal="left" vertical="center"/>
    </xf>
    <xf numFmtId="0" fontId="7" fillId="0" borderId="0" xfId="0" applyFont="1"/>
    <xf numFmtId="14" fontId="1" fillId="0" borderId="0" xfId="0" applyNumberFormat="1" applyFont="1"/>
    <xf numFmtId="0" fontId="8" fillId="0" borderId="0" xfId="0" applyFont="1"/>
    <xf numFmtId="0" fontId="9" fillId="0" borderId="0" xfId="0" applyFont="1"/>
    <xf numFmtId="0" fontId="11" fillId="0" borderId="0" xfId="0" applyFont="1" applyAlignment="1">
      <alignment horizontal="center" vertical="center" wrapText="1"/>
    </xf>
    <xf numFmtId="0" fontId="13" fillId="2" borderId="9" xfId="0" applyFont="1" applyFill="1" applyBorder="1" applyAlignment="1">
      <alignment horizontal="center" vertical="center"/>
    </xf>
    <xf numFmtId="0" fontId="13" fillId="2" borderId="10" xfId="0" applyFont="1" applyFill="1" applyBorder="1" applyAlignment="1">
      <alignment horizontal="center" vertical="center"/>
    </xf>
    <xf numFmtId="0" fontId="15" fillId="0" borderId="11" xfId="0" applyFont="1" applyBorder="1" applyAlignment="1">
      <alignment horizontal="left" vertical="center"/>
    </xf>
    <xf numFmtId="0" fontId="16" fillId="0" borderId="8" xfId="0" applyFont="1" applyBorder="1" applyAlignment="1">
      <alignment horizontal="left" vertical="center"/>
    </xf>
    <xf numFmtId="4" fontId="16" fillId="0" borderId="8" xfId="0" applyNumberFormat="1" applyFont="1" applyBorder="1" applyAlignment="1">
      <alignment horizontal="right" vertical="center"/>
    </xf>
    <xf numFmtId="0" fontId="15" fillId="0" borderId="12" xfId="0" applyFont="1" applyBorder="1" applyAlignment="1">
      <alignment horizontal="left" vertical="center"/>
    </xf>
    <xf numFmtId="0" fontId="16" fillId="0" borderId="8" xfId="0" applyFont="1" applyBorder="1" applyAlignment="1">
      <alignment horizontal="right" vertical="center"/>
    </xf>
    <xf numFmtId="4" fontId="16" fillId="0" borderId="6" xfId="0" applyNumberFormat="1" applyFont="1" applyBorder="1" applyAlignment="1">
      <alignment horizontal="right" vertical="center"/>
    </xf>
    <xf numFmtId="0" fontId="16" fillId="0" borderId="6" xfId="0" applyFont="1" applyBorder="1" applyAlignment="1">
      <alignment horizontal="right" vertical="center"/>
    </xf>
    <xf numFmtId="4" fontId="16" fillId="0" borderId="10" xfId="0" applyNumberFormat="1" applyFont="1" applyBorder="1" applyAlignment="1">
      <alignment horizontal="right" vertical="center"/>
    </xf>
    <xf numFmtId="164" fontId="15" fillId="2" borderId="10" xfId="0" applyNumberFormat="1" applyFont="1" applyFill="1" applyBorder="1" applyAlignment="1">
      <alignment horizontal="right" vertical="center"/>
    </xf>
    <xf numFmtId="164" fontId="9" fillId="0" borderId="0" xfId="0" applyNumberFormat="1" applyFont="1"/>
    <xf numFmtId="164" fontId="15" fillId="2" borderId="8" xfId="0" applyNumberFormat="1" applyFont="1" applyFill="1" applyBorder="1" applyAlignment="1">
      <alignment horizontal="right" vertical="center"/>
    </xf>
    <xf numFmtId="0" fontId="19" fillId="0" borderId="0" xfId="0" applyFont="1" applyAlignment="1">
      <alignment wrapText="1"/>
    </xf>
    <xf numFmtId="0" fontId="19" fillId="0" borderId="0" xfId="0" applyFont="1"/>
    <xf numFmtId="0" fontId="4" fillId="0" borderId="22" xfId="0" applyFont="1" applyBorder="1" applyAlignment="1">
      <alignment horizontal="right" vertical="center"/>
    </xf>
    <xf numFmtId="4" fontId="3" fillId="0" borderId="8" xfId="0" applyNumberFormat="1" applyFont="1" applyBorder="1" applyAlignment="1">
      <alignment horizontal="right" vertical="center"/>
    </xf>
    <xf numFmtId="0" fontId="3" fillId="0" borderId="8" xfId="0" applyFont="1" applyBorder="1" applyAlignment="1">
      <alignment horizontal="left" vertical="center"/>
    </xf>
    <xf numFmtId="4" fontId="3" fillId="0" borderId="6" xfId="0" applyNumberFormat="1" applyFont="1" applyBorder="1" applyAlignment="1">
      <alignment horizontal="right" vertical="center"/>
    </xf>
    <xf numFmtId="0" fontId="4" fillId="0" borderId="24" xfId="0" applyFont="1" applyBorder="1" applyAlignment="1">
      <alignment horizontal="left" vertical="center"/>
    </xf>
    <xf numFmtId="0" fontId="4" fillId="0" borderId="24" xfId="0" applyFont="1" applyBorder="1" applyAlignment="1">
      <alignment horizontal="right" vertical="center"/>
    </xf>
    <xf numFmtId="4" fontId="4" fillId="0" borderId="24" xfId="0" applyNumberFormat="1" applyFont="1" applyBorder="1" applyAlignment="1">
      <alignment horizontal="right" vertical="center"/>
    </xf>
    <xf numFmtId="0" fontId="3" fillId="0" borderId="25" xfId="0" applyFont="1" applyBorder="1" applyAlignment="1">
      <alignment horizontal="left" vertical="center"/>
    </xf>
    <xf numFmtId="0" fontId="4" fillId="0" borderId="22" xfId="0" applyFont="1" applyBorder="1" applyAlignment="1">
      <alignment horizontal="center" vertical="center"/>
    </xf>
    <xf numFmtId="0" fontId="4" fillId="0" borderId="27" xfId="0" applyFont="1" applyBorder="1" applyAlignment="1">
      <alignment horizontal="left" vertical="center"/>
    </xf>
    <xf numFmtId="0" fontId="4" fillId="0" borderId="27" xfId="0" applyFont="1" applyBorder="1" applyAlignment="1">
      <alignment horizontal="center" vertical="center"/>
    </xf>
    <xf numFmtId="0" fontId="4" fillId="0" borderId="29" xfId="0" applyFont="1" applyBorder="1" applyAlignment="1">
      <alignment horizontal="center" vertical="center"/>
    </xf>
    <xf numFmtId="0" fontId="4" fillId="0" borderId="20" xfId="0" applyFont="1" applyBorder="1" applyAlignment="1">
      <alignment horizontal="center" vertical="center"/>
    </xf>
    <xf numFmtId="0" fontId="3" fillId="3" borderId="9" xfId="0" applyFont="1" applyFill="1" applyBorder="1" applyAlignment="1">
      <alignment horizontal="left" vertical="center"/>
    </xf>
    <xf numFmtId="4" fontId="3" fillId="3" borderId="9" xfId="0" applyNumberFormat="1" applyFont="1" applyFill="1" applyBorder="1" applyAlignment="1">
      <alignment horizontal="right" vertical="center"/>
    </xf>
    <xf numFmtId="0" fontId="3" fillId="0" borderId="0" xfId="0" applyFont="1" applyAlignment="1">
      <alignment horizontal="right" vertical="center"/>
    </xf>
    <xf numFmtId="4" fontId="3" fillId="0" borderId="0" xfId="0" applyNumberFormat="1" applyFont="1" applyAlignment="1">
      <alignment horizontal="right" vertical="center"/>
    </xf>
    <xf numFmtId="0" fontId="3" fillId="4" borderId="9" xfId="0" applyFont="1" applyFill="1" applyBorder="1" applyAlignment="1">
      <alignment horizontal="left" vertical="center"/>
    </xf>
    <xf numFmtId="4" fontId="3" fillId="4" borderId="9" xfId="0" applyNumberFormat="1" applyFont="1" applyFill="1" applyBorder="1" applyAlignment="1">
      <alignment horizontal="right" vertical="center"/>
    </xf>
    <xf numFmtId="0" fontId="3" fillId="5" borderId="9" xfId="0" applyFont="1" applyFill="1" applyBorder="1" applyAlignment="1">
      <alignment horizontal="left" vertical="center"/>
    </xf>
    <xf numFmtId="4" fontId="3" fillId="5" borderId="9" xfId="0" applyNumberFormat="1" applyFont="1" applyFill="1" applyBorder="1" applyAlignment="1">
      <alignment horizontal="right" vertical="center"/>
    </xf>
    <xf numFmtId="0" fontId="3" fillId="6" borderId="9" xfId="0" applyFont="1" applyFill="1" applyBorder="1" applyAlignment="1">
      <alignment horizontal="left" vertical="center"/>
    </xf>
    <xf numFmtId="4" fontId="3" fillId="6" borderId="9" xfId="0" applyNumberFormat="1" applyFont="1" applyFill="1" applyBorder="1" applyAlignment="1">
      <alignment horizontal="right" vertical="center"/>
    </xf>
    <xf numFmtId="0" fontId="3" fillId="7" borderId="9" xfId="0" applyFont="1" applyFill="1" applyBorder="1" applyAlignment="1">
      <alignment horizontal="left" vertical="center"/>
    </xf>
    <xf numFmtId="4" fontId="3" fillId="7" borderId="9" xfId="0" applyNumberFormat="1" applyFont="1" applyFill="1" applyBorder="1" applyAlignment="1">
      <alignment horizontal="right" vertical="center"/>
    </xf>
    <xf numFmtId="4" fontId="4" fillId="0" borderId="0" xfId="0" applyNumberFormat="1" applyFont="1" applyAlignment="1">
      <alignment horizontal="right" vertical="center"/>
    </xf>
    <xf numFmtId="0" fontId="9" fillId="0" borderId="0" xfId="0" applyFont="1" applyAlignment="1">
      <alignment wrapText="1"/>
    </xf>
    <xf numFmtId="165" fontId="9" fillId="0" borderId="0" xfId="0" applyNumberFormat="1" applyFont="1"/>
    <xf numFmtId="0" fontId="11" fillId="0" borderId="0" xfId="0" applyFont="1" applyAlignment="1">
      <alignment horizontal="center" vertical="center"/>
    </xf>
    <xf numFmtId="4" fontId="4" fillId="2" borderId="0" xfId="0" applyNumberFormat="1" applyFont="1" applyFill="1" applyAlignment="1">
      <alignment horizontal="right" vertical="center"/>
    </xf>
    <xf numFmtId="0" fontId="4" fillId="0" borderId="30" xfId="0" applyFont="1" applyBorder="1" applyAlignment="1">
      <alignment horizontal="left" vertical="center"/>
    </xf>
    <xf numFmtId="0" fontId="4" fillId="0" borderId="31" xfId="0" applyFont="1" applyBorder="1" applyAlignment="1">
      <alignment horizontal="left" vertical="center"/>
    </xf>
    <xf numFmtId="165" fontId="4" fillId="0" borderId="31" xfId="0" applyNumberFormat="1" applyFont="1" applyBorder="1" applyAlignment="1">
      <alignment horizontal="center" vertical="center"/>
    </xf>
    <xf numFmtId="0" fontId="4" fillId="0" borderId="26" xfId="0" applyFont="1" applyBorder="1" applyAlignment="1">
      <alignment horizontal="center" vertical="center"/>
    </xf>
    <xf numFmtId="0" fontId="4" fillId="0" borderId="32" xfId="0" applyFont="1" applyBorder="1" applyAlignment="1">
      <alignment horizontal="center" vertical="center"/>
    </xf>
    <xf numFmtId="0" fontId="4" fillId="0" borderId="25" xfId="0" applyFont="1" applyBorder="1" applyAlignment="1">
      <alignment horizontal="center" vertical="center"/>
    </xf>
    <xf numFmtId="0" fontId="4" fillId="2" borderId="0" xfId="0" applyFont="1" applyFill="1" applyAlignment="1">
      <alignment horizontal="right" vertical="center"/>
    </xf>
    <xf numFmtId="0" fontId="4" fillId="0" borderId="0" xfId="0" applyFont="1" applyAlignment="1">
      <alignment horizontal="right" vertical="center"/>
    </xf>
    <xf numFmtId="0" fontId="3" fillId="0" borderId="34" xfId="0" applyFont="1" applyBorder="1" applyAlignment="1">
      <alignment horizontal="left" vertical="center"/>
    </xf>
    <xf numFmtId="0" fontId="3" fillId="0" borderId="29" xfId="0" applyFont="1" applyBorder="1" applyAlignment="1">
      <alignment horizontal="left" vertical="center"/>
    </xf>
    <xf numFmtId="165" fontId="3" fillId="0" borderId="29" xfId="0" applyNumberFormat="1" applyFont="1" applyBorder="1" applyAlignment="1">
      <alignment horizontal="left" vertical="center"/>
    </xf>
    <xf numFmtId="0" fontId="4" fillId="0" borderId="28" xfId="0" applyFont="1" applyBorder="1" applyAlignment="1">
      <alignment horizontal="center" vertical="center"/>
    </xf>
    <xf numFmtId="0" fontId="3" fillId="0" borderId="35" xfId="0" applyFont="1" applyBorder="1" applyAlignment="1">
      <alignment horizontal="left" vertical="center"/>
    </xf>
    <xf numFmtId="165" fontId="4" fillId="0" borderId="28" xfId="0" applyNumberFormat="1" applyFont="1" applyBorder="1" applyAlignment="1">
      <alignment horizontal="center" vertical="center"/>
    </xf>
    <xf numFmtId="0" fontId="4" fillId="3" borderId="9" xfId="0" applyFont="1" applyFill="1" applyBorder="1" applyAlignment="1">
      <alignment horizontal="left" vertical="center"/>
    </xf>
    <xf numFmtId="165" fontId="3" fillId="3" borderId="9" xfId="0" applyNumberFormat="1" applyFont="1" applyFill="1" applyBorder="1" applyAlignment="1">
      <alignment horizontal="left" vertical="center"/>
    </xf>
    <xf numFmtId="4" fontId="4" fillId="3" borderId="9" xfId="0" applyNumberFormat="1" applyFont="1" applyFill="1" applyBorder="1" applyAlignment="1">
      <alignment horizontal="right" vertical="center"/>
    </xf>
    <xf numFmtId="0" fontId="4" fillId="3" borderId="9" xfId="0" applyFont="1" applyFill="1" applyBorder="1" applyAlignment="1">
      <alignment horizontal="right" vertical="center"/>
    </xf>
    <xf numFmtId="165" fontId="4" fillId="3" borderId="9" xfId="0" applyNumberFormat="1" applyFont="1" applyFill="1" applyBorder="1" applyAlignment="1">
      <alignment horizontal="right" vertical="center"/>
    </xf>
    <xf numFmtId="0" fontId="3" fillId="2" borderId="9" xfId="0" applyFont="1" applyFill="1" applyBorder="1" applyAlignment="1">
      <alignment horizontal="left" vertical="center"/>
    </xf>
    <xf numFmtId="0" fontId="4" fillId="2" borderId="9" xfId="0" applyFont="1" applyFill="1" applyBorder="1" applyAlignment="1">
      <alignment horizontal="left" vertical="center"/>
    </xf>
    <xf numFmtId="165" fontId="3" fillId="2" borderId="9" xfId="0" applyNumberFormat="1" applyFont="1" applyFill="1" applyBorder="1" applyAlignment="1">
      <alignment horizontal="left" vertical="center"/>
    </xf>
    <xf numFmtId="4" fontId="4" fillId="2" borderId="9" xfId="0" applyNumberFormat="1" applyFont="1" applyFill="1" applyBorder="1" applyAlignment="1">
      <alignment horizontal="right" vertical="center"/>
    </xf>
    <xf numFmtId="0" fontId="4" fillId="2" borderId="9" xfId="0" applyFont="1" applyFill="1" applyBorder="1" applyAlignment="1">
      <alignment horizontal="right" vertical="center"/>
    </xf>
    <xf numFmtId="165" fontId="4" fillId="2" borderId="9" xfId="0" applyNumberFormat="1" applyFont="1" applyFill="1" applyBorder="1" applyAlignment="1">
      <alignment horizontal="right" vertical="center"/>
    </xf>
    <xf numFmtId="0" fontId="3" fillId="0" borderId="9" xfId="0" applyFont="1" applyBorder="1" applyAlignment="1">
      <alignment horizontal="left" vertical="center"/>
    </xf>
    <xf numFmtId="0" fontId="3" fillId="0" borderId="9" xfId="0" applyFont="1" applyBorder="1" applyAlignment="1">
      <alignment horizontal="left" vertical="center" wrapText="1"/>
    </xf>
    <xf numFmtId="165" fontId="3" fillId="0" borderId="9" xfId="0" applyNumberFormat="1" applyFont="1" applyBorder="1" applyAlignment="1">
      <alignment horizontal="right" vertical="center"/>
    </xf>
    <xf numFmtId="4" fontId="3" fillId="0" borderId="9" xfId="0" applyNumberFormat="1" applyFont="1" applyBorder="1" applyAlignment="1">
      <alignment horizontal="right" vertical="center"/>
    </xf>
    <xf numFmtId="1" fontId="3" fillId="0" borderId="9" xfId="0" applyNumberFormat="1" applyFont="1" applyBorder="1" applyAlignment="1">
      <alignment horizontal="right" vertical="center"/>
    </xf>
    <xf numFmtId="0" fontId="3" fillId="0" borderId="9" xfId="0" applyFont="1" applyBorder="1" applyAlignment="1">
      <alignment horizontal="right" vertical="center"/>
    </xf>
    <xf numFmtId="0" fontId="4" fillId="4" borderId="9" xfId="0" applyFont="1" applyFill="1" applyBorder="1" applyAlignment="1">
      <alignment horizontal="left" vertical="center"/>
    </xf>
    <xf numFmtId="165" fontId="3" fillId="4" borderId="9" xfId="0" applyNumberFormat="1" applyFont="1" applyFill="1" applyBorder="1" applyAlignment="1">
      <alignment horizontal="left" vertical="center"/>
    </xf>
    <xf numFmtId="4" fontId="4" fillId="4" borderId="9" xfId="0" applyNumberFormat="1" applyFont="1" applyFill="1" applyBorder="1" applyAlignment="1">
      <alignment horizontal="right" vertical="center"/>
    </xf>
    <xf numFmtId="0" fontId="4" fillId="4" borderId="9" xfId="0" applyFont="1" applyFill="1" applyBorder="1" applyAlignment="1">
      <alignment horizontal="right" vertical="center"/>
    </xf>
    <xf numFmtId="165" fontId="4" fillId="4" borderId="9" xfId="0" applyNumberFormat="1" applyFont="1" applyFill="1" applyBorder="1" applyAlignment="1">
      <alignment horizontal="right" vertical="center"/>
    </xf>
    <xf numFmtId="0" fontId="22" fillId="0" borderId="9" xfId="0" applyFont="1" applyBorder="1" applyAlignment="1">
      <alignment horizontal="left" vertical="center"/>
    </xf>
    <xf numFmtId="0" fontId="22" fillId="0" borderId="9" xfId="0" applyFont="1" applyBorder="1" applyAlignment="1">
      <alignment horizontal="left" vertical="center" wrapText="1"/>
    </xf>
    <xf numFmtId="165" fontId="22" fillId="0" borderId="9" xfId="0" applyNumberFormat="1" applyFont="1" applyBorder="1" applyAlignment="1">
      <alignment horizontal="right" vertical="center"/>
    </xf>
    <xf numFmtId="4" fontId="22" fillId="0" borderId="9" xfId="0" applyNumberFormat="1" applyFont="1" applyBorder="1" applyAlignment="1">
      <alignment horizontal="right" vertical="center"/>
    </xf>
    <xf numFmtId="1" fontId="22" fillId="0" borderId="9" xfId="0" applyNumberFormat="1" applyFont="1" applyBorder="1" applyAlignment="1">
      <alignment horizontal="right" vertical="center"/>
    </xf>
    <xf numFmtId="0" fontId="22" fillId="0" borderId="9" xfId="0" applyFont="1" applyBorder="1" applyAlignment="1">
      <alignment horizontal="right" vertical="center"/>
    </xf>
    <xf numFmtId="4" fontId="22" fillId="0" borderId="0" xfId="0" applyNumberFormat="1" applyFont="1" applyAlignment="1">
      <alignment horizontal="right" vertical="center"/>
    </xf>
    <xf numFmtId="0" fontId="22" fillId="0" borderId="0" xfId="0" applyFont="1" applyAlignment="1">
      <alignment horizontal="right" vertical="center"/>
    </xf>
    <xf numFmtId="0" fontId="22" fillId="0" borderId="0" xfId="0" applyFont="1" applyAlignment="1">
      <alignment horizontal="left" vertical="center" wrapText="1"/>
    </xf>
    <xf numFmtId="0" fontId="4" fillId="5" borderId="9" xfId="0" applyFont="1" applyFill="1" applyBorder="1" applyAlignment="1">
      <alignment horizontal="left" vertical="center"/>
    </xf>
    <xf numFmtId="165" fontId="3" fillId="5" borderId="9" xfId="0" applyNumberFormat="1" applyFont="1" applyFill="1" applyBorder="1" applyAlignment="1">
      <alignment horizontal="left" vertical="center"/>
    </xf>
    <xf numFmtId="4" fontId="4" fillId="5" borderId="9" xfId="0" applyNumberFormat="1" applyFont="1" applyFill="1" applyBorder="1" applyAlignment="1">
      <alignment horizontal="right" vertical="center"/>
    </xf>
    <xf numFmtId="0" fontId="4" fillId="5" borderId="9" xfId="0" applyFont="1" applyFill="1" applyBorder="1" applyAlignment="1">
      <alignment horizontal="right" vertical="center"/>
    </xf>
    <xf numFmtId="165" fontId="4" fillId="5" borderId="9" xfId="0" applyNumberFormat="1" applyFont="1" applyFill="1" applyBorder="1" applyAlignment="1">
      <alignment horizontal="right" vertical="center"/>
    </xf>
    <xf numFmtId="0" fontId="4" fillId="6" borderId="9" xfId="0" applyFont="1" applyFill="1" applyBorder="1" applyAlignment="1">
      <alignment horizontal="left" vertical="center"/>
    </xf>
    <xf numFmtId="165" fontId="3" fillId="6" borderId="9" xfId="0" applyNumberFormat="1" applyFont="1" applyFill="1" applyBorder="1" applyAlignment="1">
      <alignment horizontal="left" vertical="center"/>
    </xf>
    <xf numFmtId="4" fontId="4" fillId="6" borderId="9" xfId="0" applyNumberFormat="1" applyFont="1" applyFill="1" applyBorder="1" applyAlignment="1">
      <alignment horizontal="right" vertical="center"/>
    </xf>
    <xf numFmtId="0" fontId="4" fillId="6" borderId="9" xfId="0" applyFont="1" applyFill="1" applyBorder="1" applyAlignment="1">
      <alignment horizontal="right" vertical="center"/>
    </xf>
    <xf numFmtId="165" fontId="4" fillId="6" borderId="9" xfId="0" applyNumberFormat="1" applyFont="1" applyFill="1" applyBorder="1" applyAlignment="1">
      <alignment horizontal="right" vertical="center"/>
    </xf>
    <xf numFmtId="0" fontId="4" fillId="7" borderId="9" xfId="0" applyFont="1" applyFill="1" applyBorder="1" applyAlignment="1">
      <alignment horizontal="left" vertical="center"/>
    </xf>
    <xf numFmtId="165" fontId="3" fillId="7" borderId="9" xfId="0" applyNumberFormat="1" applyFont="1" applyFill="1" applyBorder="1" applyAlignment="1">
      <alignment horizontal="left" vertical="center"/>
    </xf>
    <xf numFmtId="4" fontId="4" fillId="7" borderId="9" xfId="0" applyNumberFormat="1" applyFont="1" applyFill="1" applyBorder="1" applyAlignment="1">
      <alignment horizontal="right" vertical="center"/>
    </xf>
    <xf numFmtId="0" fontId="4" fillId="7" borderId="9" xfId="0" applyFont="1" applyFill="1" applyBorder="1" applyAlignment="1">
      <alignment horizontal="right" vertical="center"/>
    </xf>
    <xf numFmtId="165" fontId="4" fillId="7" borderId="9" xfId="0" applyNumberFormat="1" applyFont="1" applyFill="1" applyBorder="1" applyAlignment="1">
      <alignment horizontal="right" vertical="center"/>
    </xf>
    <xf numFmtId="164" fontId="4" fillId="0" borderId="0" xfId="0" applyNumberFormat="1" applyFont="1" applyAlignment="1">
      <alignment horizontal="right" vertical="center"/>
    </xf>
    <xf numFmtId="0" fontId="4" fillId="0" borderId="36" xfId="0" applyFont="1" applyBorder="1" applyAlignment="1">
      <alignment horizontal="left" vertical="center"/>
    </xf>
    <xf numFmtId="0" fontId="4" fillId="0" borderId="37" xfId="0" applyFont="1" applyBorder="1" applyAlignment="1">
      <alignment horizontal="left" vertical="center"/>
    </xf>
    <xf numFmtId="0" fontId="4" fillId="0" borderId="38" xfId="0" applyFont="1" applyBorder="1" applyAlignment="1">
      <alignment horizontal="right" vertical="center"/>
    </xf>
    <xf numFmtId="0" fontId="4" fillId="0" borderId="39" xfId="0" applyFont="1" applyBorder="1" applyAlignment="1">
      <alignment horizontal="left" vertical="center"/>
    </xf>
    <xf numFmtId="0" fontId="9" fillId="0" borderId="9" xfId="0" applyFont="1" applyBorder="1"/>
    <xf numFmtId="0" fontId="23" fillId="0" borderId="9" xfId="0" applyFont="1" applyBorder="1" applyAlignment="1">
      <alignment horizontal="left" vertical="center" wrapText="1"/>
    </xf>
    <xf numFmtId="0" fontId="23" fillId="0" borderId="9" xfId="0" applyFont="1" applyBorder="1" applyAlignment="1">
      <alignment horizontal="left" vertical="center"/>
    </xf>
    <xf numFmtId="4" fontId="23" fillId="0" borderId="9" xfId="0" applyNumberFormat="1" applyFont="1" applyBorder="1" applyAlignment="1">
      <alignment horizontal="right" vertical="center"/>
    </xf>
    <xf numFmtId="4" fontId="24" fillId="0" borderId="9" xfId="0" applyNumberFormat="1" applyFont="1" applyBorder="1" applyAlignment="1">
      <alignment horizontal="right" vertical="center"/>
    </xf>
    <xf numFmtId="0" fontId="4" fillId="0" borderId="40" xfId="0" applyFont="1" applyBorder="1" applyAlignment="1">
      <alignment horizontal="left" vertical="center"/>
    </xf>
    <xf numFmtId="0" fontId="3" fillId="8" borderId="0" xfId="0" applyFont="1" applyFill="1" applyAlignment="1">
      <alignment horizontal="left" vertical="center"/>
    </xf>
    <xf numFmtId="1" fontId="3" fillId="0" borderId="9" xfId="0" applyNumberFormat="1" applyFont="1" applyBorder="1" applyAlignment="1">
      <alignment horizontal="left" vertical="center"/>
    </xf>
    <xf numFmtId="4" fontId="3" fillId="0" borderId="0" xfId="0" applyNumberFormat="1" applyFont="1" applyAlignment="1">
      <alignment horizontal="left" vertical="center"/>
    </xf>
    <xf numFmtId="1" fontId="22" fillId="0" borderId="9" xfId="0" applyNumberFormat="1" applyFont="1" applyBorder="1" applyAlignment="1">
      <alignment horizontal="left" vertical="center"/>
    </xf>
    <xf numFmtId="0" fontId="22" fillId="0" borderId="0" xfId="0" applyFont="1" applyAlignment="1">
      <alignment horizontal="left" vertical="center"/>
    </xf>
    <xf numFmtId="4" fontId="22" fillId="0" borderId="0" xfId="0" applyNumberFormat="1" applyFont="1" applyAlignment="1">
      <alignment horizontal="left" vertical="center"/>
    </xf>
    <xf numFmtId="164" fontId="15" fillId="2" borderId="10" xfId="0" applyNumberFormat="1" applyFont="1" applyFill="1" applyBorder="1" applyAlignment="1">
      <alignment horizontal="right" vertical="center" wrapText="1"/>
    </xf>
    <xf numFmtId="164" fontId="9" fillId="0" borderId="0" xfId="0" applyNumberFormat="1" applyFont="1" applyAlignment="1">
      <alignment wrapText="1"/>
    </xf>
    <xf numFmtId="164" fontId="15" fillId="2" borderId="8" xfId="0" applyNumberFormat="1" applyFont="1" applyFill="1" applyBorder="1" applyAlignment="1">
      <alignment horizontal="right" vertical="center" wrapText="1"/>
    </xf>
    <xf numFmtId="0" fontId="0" fillId="0" borderId="0" xfId="0" applyAlignment="1">
      <alignment wrapText="1"/>
    </xf>
    <xf numFmtId="0" fontId="10" fillId="0" borderId="1" xfId="0" applyFont="1" applyBorder="1" applyAlignment="1">
      <alignment horizontal="center" vertical="center" wrapText="1"/>
    </xf>
    <xf numFmtId="0" fontId="12" fillId="0" borderId="0" xfId="0" applyFont="1" applyAlignment="1">
      <alignment horizontal="center" vertical="center"/>
    </xf>
    <xf numFmtId="0" fontId="14" fillId="0" borderId="10" xfId="0" applyFont="1" applyBorder="1" applyAlignment="1">
      <alignment horizontal="left" vertical="center"/>
    </xf>
    <xf numFmtId="0" fontId="16" fillId="0" borderId="8" xfId="0" applyFont="1" applyBorder="1" applyAlignment="1">
      <alignment horizontal="left" vertical="center"/>
    </xf>
    <xf numFmtId="0" fontId="15" fillId="0" borderId="12" xfId="0" applyFont="1" applyBorder="1" applyAlignment="1">
      <alignment horizontal="left" vertical="center"/>
    </xf>
    <xf numFmtId="0" fontId="15" fillId="0" borderId="11" xfId="0" applyFont="1" applyBorder="1" applyAlignment="1">
      <alignment horizontal="left" vertical="center"/>
    </xf>
    <xf numFmtId="0" fontId="16" fillId="0" borderId="6" xfId="0" applyFont="1" applyBorder="1" applyAlignment="1">
      <alignment horizontal="left" vertical="center"/>
    </xf>
    <xf numFmtId="0" fontId="15" fillId="0" borderId="9" xfId="0" applyFont="1" applyBorder="1" applyAlignment="1">
      <alignment horizontal="left" vertical="center"/>
    </xf>
    <xf numFmtId="0" fontId="15" fillId="0" borderId="10" xfId="0" applyFont="1" applyBorder="1" applyAlignment="1">
      <alignment horizontal="left" vertical="center"/>
    </xf>
    <xf numFmtId="0" fontId="15" fillId="0" borderId="8" xfId="0" applyFont="1" applyBorder="1" applyAlignment="1">
      <alignment horizontal="left" vertical="center"/>
    </xf>
    <xf numFmtId="164" fontId="15" fillId="2" borderId="13" xfId="0" applyNumberFormat="1" applyFont="1" applyFill="1" applyBorder="1" applyAlignment="1">
      <alignment horizontal="left" vertical="center"/>
    </xf>
    <xf numFmtId="164" fontId="15" fillId="2" borderId="7" xfId="0" applyNumberFormat="1" applyFont="1" applyFill="1" applyBorder="1" applyAlignment="1">
      <alignment horizontal="left" vertical="center"/>
    </xf>
    <xf numFmtId="164" fontId="15" fillId="2" borderId="14" xfId="0" applyNumberFormat="1" applyFont="1" applyFill="1" applyBorder="1" applyAlignment="1">
      <alignment horizontal="left" vertical="center"/>
    </xf>
    <xf numFmtId="164" fontId="15" fillId="2" borderId="1" xfId="0" applyNumberFormat="1" applyFont="1" applyFill="1" applyBorder="1" applyAlignment="1">
      <alignment horizontal="left" vertical="center"/>
    </xf>
    <xf numFmtId="0" fontId="16" fillId="0" borderId="15" xfId="0" applyFont="1" applyBorder="1" applyAlignment="1">
      <alignment horizontal="left" vertical="center"/>
    </xf>
    <xf numFmtId="0" fontId="16" fillId="0" borderId="16" xfId="0" applyFont="1" applyBorder="1" applyAlignment="1">
      <alignment horizontal="left" vertical="center"/>
    </xf>
    <xf numFmtId="0" fontId="16" fillId="0" borderId="17" xfId="0" applyFont="1" applyBorder="1" applyAlignment="1">
      <alignment horizontal="left" vertical="center"/>
    </xf>
    <xf numFmtId="0" fontId="16" fillId="0" borderId="18" xfId="0" applyFont="1" applyBorder="1" applyAlignment="1">
      <alignment horizontal="left" vertical="center"/>
    </xf>
    <xf numFmtId="0" fontId="16" fillId="0" borderId="19" xfId="0" applyFont="1" applyBorder="1" applyAlignment="1">
      <alignment horizontal="left" vertical="center"/>
    </xf>
    <xf numFmtId="0" fontId="16" fillId="0" borderId="20" xfId="0" applyFont="1" applyBorder="1" applyAlignment="1">
      <alignment horizontal="left" vertical="center"/>
    </xf>
    <xf numFmtId="0" fontId="17" fillId="0" borderId="0" xfId="0" applyFont="1" applyAlignment="1">
      <alignment wrapText="1"/>
    </xf>
    <xf numFmtId="0" fontId="18" fillId="0" borderId="0" xfId="0" applyFont="1" applyAlignment="1">
      <alignment wrapText="1"/>
    </xf>
    <xf numFmtId="0" fontId="11" fillId="0" borderId="0" xfId="0" applyFont="1" applyAlignment="1">
      <alignment horizontal="center" vertical="center" wrapText="1"/>
    </xf>
    <xf numFmtId="0" fontId="15" fillId="0" borderId="0" xfId="0" applyFont="1" applyAlignment="1">
      <alignment horizontal="left" vertical="center"/>
    </xf>
    <xf numFmtId="0" fontId="4" fillId="0" borderId="21" xfId="0" applyFont="1" applyBorder="1" applyAlignment="1">
      <alignment horizontal="left" vertical="center"/>
    </xf>
    <xf numFmtId="0" fontId="3" fillId="0" borderId="12" xfId="0" applyFont="1" applyBorder="1" applyAlignment="1">
      <alignment horizontal="left" vertical="center"/>
    </xf>
    <xf numFmtId="0" fontId="3" fillId="0" borderId="11" xfId="0" applyFont="1" applyBorder="1" applyAlignment="1">
      <alignment horizontal="left" vertical="center"/>
    </xf>
    <xf numFmtId="0" fontId="4" fillId="0" borderId="23" xfId="0" applyFont="1" applyBorder="1" applyAlignment="1">
      <alignment horizontal="left" vertical="center"/>
    </xf>
    <xf numFmtId="0" fontId="15" fillId="0" borderId="23" xfId="0" applyFont="1" applyBorder="1" applyAlignment="1">
      <alignment horizontal="left" vertical="center"/>
    </xf>
    <xf numFmtId="4" fontId="15" fillId="0" borderId="24" xfId="0" applyNumberFormat="1" applyFont="1" applyBorder="1" applyAlignment="1">
      <alignment horizontal="right" vertical="center"/>
    </xf>
    <xf numFmtId="49" fontId="11" fillId="0" borderId="1" xfId="0" applyNumberFormat="1" applyFont="1" applyBorder="1" applyAlignment="1">
      <alignment horizontal="center"/>
    </xf>
    <xf numFmtId="0" fontId="3" fillId="0" borderId="4" xfId="0" applyFont="1" applyBorder="1" applyAlignment="1">
      <alignment horizontal="left" vertical="center" wrapText="1"/>
    </xf>
    <xf numFmtId="0" fontId="3" fillId="0" borderId="6" xfId="0" applyFont="1" applyBorder="1" applyAlignment="1">
      <alignment horizontal="left" vertical="center" wrapText="1"/>
    </xf>
    <xf numFmtId="0" fontId="3" fillId="0" borderId="26" xfId="0" applyFont="1" applyBorder="1" applyAlignment="1">
      <alignment horizontal="left" vertical="center"/>
    </xf>
    <xf numFmtId="0" fontId="4" fillId="0" borderId="21" xfId="0" applyFont="1" applyBorder="1" applyAlignment="1">
      <alignment horizontal="center" vertical="center"/>
    </xf>
    <xf numFmtId="0" fontId="4" fillId="0" borderId="28" xfId="0" applyFont="1" applyBorder="1" applyAlignment="1">
      <alignment horizontal="left" vertical="center"/>
    </xf>
    <xf numFmtId="0" fontId="20" fillId="3" borderId="9" xfId="0" applyFont="1" applyFill="1" applyBorder="1" applyAlignment="1">
      <alignment horizontal="left" vertical="center"/>
    </xf>
    <xf numFmtId="0" fontId="20" fillId="4" borderId="9" xfId="0" applyFont="1" applyFill="1" applyBorder="1" applyAlignment="1">
      <alignment horizontal="left" vertical="center"/>
    </xf>
    <xf numFmtId="0" fontId="20" fillId="5" borderId="9" xfId="0" applyFont="1" applyFill="1" applyBorder="1" applyAlignment="1">
      <alignment horizontal="left" vertical="center"/>
    </xf>
    <xf numFmtId="0" fontId="20" fillId="6" borderId="9" xfId="0" applyFont="1" applyFill="1" applyBorder="1" applyAlignment="1">
      <alignment horizontal="left" vertical="center"/>
    </xf>
    <xf numFmtId="0" fontId="20" fillId="7" borderId="9" xfId="0" applyFont="1" applyFill="1" applyBorder="1" applyAlignment="1">
      <alignment horizontal="left" vertical="center"/>
    </xf>
    <xf numFmtId="0" fontId="4" fillId="0" borderId="0" xfId="0" applyFont="1" applyAlignment="1">
      <alignment horizontal="left" vertical="center"/>
    </xf>
    <xf numFmtId="49" fontId="11" fillId="0" borderId="1" xfId="0" applyNumberFormat="1" applyFont="1" applyBorder="1" applyAlignment="1">
      <alignment horizontal="left"/>
    </xf>
    <xf numFmtId="0" fontId="3" fillId="0" borderId="3" xfId="0" applyFont="1" applyBorder="1" applyAlignment="1">
      <alignment horizontal="left" vertical="center"/>
    </xf>
    <xf numFmtId="0" fontId="4" fillId="0" borderId="31" xfId="0" applyFont="1" applyBorder="1" applyAlignment="1">
      <alignment horizontal="left" vertical="center" wrapText="1"/>
    </xf>
    <xf numFmtId="0" fontId="4" fillId="0" borderId="33" xfId="0" applyFont="1" applyBorder="1" applyAlignment="1">
      <alignment horizontal="center" vertical="center"/>
    </xf>
    <xf numFmtId="0" fontId="4" fillId="0" borderId="29" xfId="0" applyFont="1" applyBorder="1" applyAlignment="1">
      <alignment horizontal="left" vertical="center" wrapText="1"/>
    </xf>
    <xf numFmtId="0" fontId="21" fillId="3" borderId="9" xfId="0" applyFont="1" applyFill="1" applyBorder="1" applyAlignment="1">
      <alignment horizontal="left" vertical="center" wrapText="1"/>
    </xf>
    <xf numFmtId="0" fontId="4" fillId="2" borderId="9" xfId="0" applyFont="1" applyFill="1" applyBorder="1" applyAlignment="1">
      <alignment horizontal="left" vertical="center" wrapText="1"/>
    </xf>
    <xf numFmtId="0" fontId="3" fillId="0" borderId="9" xfId="0" applyFont="1" applyBorder="1" applyAlignment="1">
      <alignment horizontal="left" vertical="center" wrapText="1"/>
    </xf>
    <xf numFmtId="0" fontId="21" fillId="4" borderId="9" xfId="0" applyFont="1" applyFill="1" applyBorder="1" applyAlignment="1">
      <alignment horizontal="left" vertical="center" wrapText="1"/>
    </xf>
    <xf numFmtId="0" fontId="22" fillId="0" borderId="9" xfId="0" applyFont="1" applyBorder="1" applyAlignment="1">
      <alignment horizontal="left" vertical="center" wrapText="1"/>
    </xf>
    <xf numFmtId="0" fontId="21" fillId="5" borderId="9" xfId="0" applyFont="1" applyFill="1" applyBorder="1" applyAlignment="1">
      <alignment horizontal="left" vertical="center" wrapText="1"/>
    </xf>
    <xf numFmtId="0" fontId="21" fillId="6" borderId="9" xfId="0" applyFont="1" applyFill="1" applyBorder="1" applyAlignment="1">
      <alignment horizontal="left" vertical="center" wrapText="1"/>
    </xf>
    <xf numFmtId="0" fontId="21" fillId="7" borderId="9" xfId="0" applyFont="1" applyFill="1" applyBorder="1" applyAlignment="1">
      <alignment horizontal="left" vertical="center" wrapText="1"/>
    </xf>
    <xf numFmtId="0" fontId="11" fillId="0" borderId="0" xfId="0" applyFont="1" applyAlignment="1">
      <alignment horizontal="center" vertical="center"/>
    </xf>
    <xf numFmtId="0" fontId="4" fillId="0" borderId="37" xfId="0" applyFont="1" applyBorder="1" applyAlignment="1">
      <alignment horizontal="left" vertical="center" wrapText="1"/>
    </xf>
    <xf numFmtId="0" fontId="23" fillId="0" borderId="9" xfId="0" applyFont="1" applyBorder="1" applyAlignment="1">
      <alignment horizontal="left" vertical="center"/>
    </xf>
    <xf numFmtId="0" fontId="4" fillId="0" borderId="40" xfId="0" applyFont="1" applyBorder="1" applyAlignment="1">
      <alignment horizontal="left" vertical="center"/>
    </xf>
    <xf numFmtId="0" fontId="4" fillId="0" borderId="37" xfId="0" applyFont="1" applyBorder="1" applyAlignment="1">
      <alignment horizontal="left" vertical="center"/>
    </xf>
    <xf numFmtId="0" fontId="4" fillId="2" borderId="9" xfId="0" applyFont="1" applyFill="1" applyBorder="1" applyAlignment="1">
      <alignment horizontal="left" vertical="center"/>
    </xf>
    <xf numFmtId="0" fontId="3" fillId="0" borderId="9" xfId="0" applyFont="1" applyBorder="1" applyAlignment="1">
      <alignment horizontal="left" vertical="center"/>
    </xf>
    <xf numFmtId="0" fontId="22" fillId="0" borderId="9" xfId="0" applyFont="1" applyBorder="1" applyAlignment="1">
      <alignment horizontal="left" vertical="center"/>
    </xf>
    <xf numFmtId="164" fontId="15" fillId="2" borderId="13" xfId="0" applyNumberFormat="1" applyFont="1" applyFill="1" applyBorder="1" applyAlignment="1">
      <alignment horizontal="left" vertical="center" wrapText="1"/>
    </xf>
    <xf numFmtId="164" fontId="15" fillId="2" borderId="7" xfId="0" applyNumberFormat="1" applyFont="1" applyFill="1" applyBorder="1" applyAlignment="1">
      <alignment horizontal="left" vertical="center" wrapText="1"/>
    </xf>
    <xf numFmtId="164" fontId="15" fillId="2" borderId="14" xfId="0" applyNumberFormat="1" applyFont="1" applyFill="1" applyBorder="1" applyAlignment="1">
      <alignment horizontal="left" vertical="center" wrapText="1"/>
    </xf>
    <xf numFmtId="164" fontId="15" fillId="2" borderId="1" xfId="0" applyNumberFormat="1" applyFont="1" applyFill="1" applyBorder="1" applyAlignment="1">
      <alignment horizontal="left" vertical="center" wrapText="1"/>
    </xf>
  </cellXfs>
  <cellStyles count="1">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2CC"/>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CC"/>
      <rgbColor rgb="FF00CCFF"/>
      <rgbColor rgb="FFCCFFFF"/>
      <rgbColor rgb="FFCCFFCC"/>
      <rgbColor rgb="FFFFFF99"/>
      <rgbColor rgb="FF99CCFF"/>
      <rgbColor rgb="FFFF99CC"/>
      <rgbColor rgb="FFCC99FF"/>
      <rgbColor rgb="FFD2B48C"/>
      <rgbColor rgb="FF3366FF"/>
      <rgbColor rgb="FF33CCCC"/>
      <rgbColor rgb="FFBDB76B"/>
      <rgbColor rgb="FFFFCC00"/>
      <rgbColor rgb="FFFF9900"/>
      <rgbColor rgb="FFFF4500"/>
      <rgbColor rgb="FF666699"/>
      <rgbColor rgb="FF999999"/>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7.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1" Type="http://schemas.openxmlformats.org/officeDocument/2006/relationships/image" Target="../media/image2.jpeg"/></Relationships>
</file>

<file path=xl/drawings/_rels/drawing8.xml.rels><?xml version="1.0" encoding="UTF-8" standalone="yes"?>
<Relationships xmlns="http://schemas.openxmlformats.org/package/2006/relationships"><Relationship Id="rId1" Type="http://schemas.openxmlformats.org/officeDocument/2006/relationships/image" Target="../media/image2.jpeg"/></Relationships>
</file>

<file path=xl/drawings/_rels/drawing9.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47</xdr:row>
      <xdr:rowOff>145800</xdr:rowOff>
    </xdr:from>
    <xdr:to>
      <xdr:col>9</xdr:col>
      <xdr:colOff>296280</xdr:colOff>
      <xdr:row>97</xdr:row>
      <xdr:rowOff>91800</xdr:rowOff>
    </xdr:to>
    <xdr:pic>
      <xdr:nvPicPr>
        <xdr:cNvPr id="2" name="Obrázek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0" y="10274760"/>
          <a:ext cx="7546680" cy="9248760"/>
        </a:xfrm>
        <a:prstGeom prst="rect">
          <a:avLst/>
        </a:prstGeom>
        <a:noFill/>
        <a:ln w="0">
          <a:noFill/>
        </a:ln>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18" name="Obrázek 12">
          <a:extLst>
            <a:ext uri="{FF2B5EF4-FFF2-40B4-BE49-F238E27FC236}">
              <a16:creationId xmlns:a16="http://schemas.microsoft.com/office/drawing/2014/main" id="{00000000-0008-0000-0900-000012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1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19" name="Obrázek 13">
          <a:extLst>
            <a:ext uri="{FF2B5EF4-FFF2-40B4-BE49-F238E27FC236}">
              <a16:creationId xmlns:a16="http://schemas.microsoft.com/office/drawing/2014/main" id="{00000000-0008-0000-0A00-000013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1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20" name="Obrázek 14">
          <a:extLst>
            <a:ext uri="{FF2B5EF4-FFF2-40B4-BE49-F238E27FC236}">
              <a16:creationId xmlns:a16="http://schemas.microsoft.com/office/drawing/2014/main" id="{00000000-0008-0000-0B00-000014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13.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21" name="Obrázek 15">
          <a:extLst>
            <a:ext uri="{FF2B5EF4-FFF2-40B4-BE49-F238E27FC236}">
              <a16:creationId xmlns:a16="http://schemas.microsoft.com/office/drawing/2014/main" id="{00000000-0008-0000-0C00-000015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1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22" name="Obrázek 16">
          <a:extLst>
            <a:ext uri="{FF2B5EF4-FFF2-40B4-BE49-F238E27FC236}">
              <a16:creationId xmlns:a16="http://schemas.microsoft.com/office/drawing/2014/main" id="{00000000-0008-0000-0D00-000016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15.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23" name="Obrázek 17">
          <a:extLst>
            <a:ext uri="{FF2B5EF4-FFF2-40B4-BE49-F238E27FC236}">
              <a16:creationId xmlns:a16="http://schemas.microsoft.com/office/drawing/2014/main" id="{00000000-0008-0000-0E00-000017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16.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24" name="Obrázek 18">
          <a:extLst>
            <a:ext uri="{FF2B5EF4-FFF2-40B4-BE49-F238E27FC236}">
              <a16:creationId xmlns:a16="http://schemas.microsoft.com/office/drawing/2014/main" id="{00000000-0008-0000-0F00-000018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17.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25" name="Obrázek 19">
          <a:extLst>
            <a:ext uri="{FF2B5EF4-FFF2-40B4-BE49-F238E27FC236}">
              <a16:creationId xmlns:a16="http://schemas.microsoft.com/office/drawing/2014/main" id="{00000000-0008-0000-1000-000019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18.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26" name="Obrázek 20">
          <a:extLst>
            <a:ext uri="{FF2B5EF4-FFF2-40B4-BE49-F238E27FC236}">
              <a16:creationId xmlns:a16="http://schemas.microsoft.com/office/drawing/2014/main" id="{00000000-0008-0000-1100-00001A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19.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27" name="Obrázek 21">
          <a:extLst>
            <a:ext uri="{FF2B5EF4-FFF2-40B4-BE49-F238E27FC236}">
              <a16:creationId xmlns:a16="http://schemas.microsoft.com/office/drawing/2014/main" id="{00000000-0008-0000-1200-00001B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2" name="Obrázek 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3" name="Obrázek 31">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4" name="Obrázek 59">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5" name="Obrázek 60">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20.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28" name="Obrázek 22">
          <a:extLst>
            <a:ext uri="{FF2B5EF4-FFF2-40B4-BE49-F238E27FC236}">
              <a16:creationId xmlns:a16="http://schemas.microsoft.com/office/drawing/2014/main" id="{00000000-0008-0000-1300-00001C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2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29" name="Obrázek 23">
          <a:extLst>
            <a:ext uri="{FF2B5EF4-FFF2-40B4-BE49-F238E27FC236}">
              <a16:creationId xmlns:a16="http://schemas.microsoft.com/office/drawing/2014/main" id="{00000000-0008-0000-1400-00001D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2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30" name="Obrázek 24">
          <a:extLst>
            <a:ext uri="{FF2B5EF4-FFF2-40B4-BE49-F238E27FC236}">
              <a16:creationId xmlns:a16="http://schemas.microsoft.com/office/drawing/2014/main" id="{00000000-0008-0000-1500-00001E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23.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31" name="Obrázek 25">
          <a:extLst>
            <a:ext uri="{FF2B5EF4-FFF2-40B4-BE49-F238E27FC236}">
              <a16:creationId xmlns:a16="http://schemas.microsoft.com/office/drawing/2014/main" id="{00000000-0008-0000-1600-00001F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2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32" name="Obrázek 26">
          <a:extLst>
            <a:ext uri="{FF2B5EF4-FFF2-40B4-BE49-F238E27FC236}">
              <a16:creationId xmlns:a16="http://schemas.microsoft.com/office/drawing/2014/main" id="{00000000-0008-0000-1700-000020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25.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33" name="Obrázek 27">
          <a:extLst>
            <a:ext uri="{FF2B5EF4-FFF2-40B4-BE49-F238E27FC236}">
              <a16:creationId xmlns:a16="http://schemas.microsoft.com/office/drawing/2014/main" id="{00000000-0008-0000-1800-000021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26.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34" name="Obrázek 28">
          <a:extLst>
            <a:ext uri="{FF2B5EF4-FFF2-40B4-BE49-F238E27FC236}">
              <a16:creationId xmlns:a16="http://schemas.microsoft.com/office/drawing/2014/main" id="{00000000-0008-0000-1900-000022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27.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35" name="Obrázek 29">
          <a:extLst>
            <a:ext uri="{FF2B5EF4-FFF2-40B4-BE49-F238E27FC236}">
              <a16:creationId xmlns:a16="http://schemas.microsoft.com/office/drawing/2014/main" id="{00000000-0008-0000-1A00-000023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5" name="Obrázek 5">
          <a:extLst>
            <a:ext uri="{FF2B5EF4-FFF2-40B4-BE49-F238E27FC236}">
              <a16:creationId xmlns:a16="http://schemas.microsoft.com/office/drawing/2014/main" id="{00000000-0008-0000-0200-000005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6" name="Obrázek 6">
          <a:extLst>
            <a:ext uri="{FF2B5EF4-FFF2-40B4-BE49-F238E27FC236}">
              <a16:creationId xmlns:a16="http://schemas.microsoft.com/office/drawing/2014/main" id="{00000000-0008-0000-0300-000006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7" name="Obrázek 32">
          <a:extLst>
            <a:ext uri="{FF2B5EF4-FFF2-40B4-BE49-F238E27FC236}">
              <a16:creationId xmlns:a16="http://schemas.microsoft.com/office/drawing/2014/main" id="{00000000-0008-0000-0300-000007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8" name="Obrázek 61">
          <a:extLst>
            <a:ext uri="{FF2B5EF4-FFF2-40B4-BE49-F238E27FC236}">
              <a16:creationId xmlns:a16="http://schemas.microsoft.com/office/drawing/2014/main" id="{00000000-0008-0000-0300-000008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9" name="Obrázek 62">
          <a:extLst>
            <a:ext uri="{FF2B5EF4-FFF2-40B4-BE49-F238E27FC236}">
              <a16:creationId xmlns:a16="http://schemas.microsoft.com/office/drawing/2014/main" id="{00000000-0008-0000-0300-000009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10" name="Obrázek 7">
          <a:extLst>
            <a:ext uri="{FF2B5EF4-FFF2-40B4-BE49-F238E27FC236}">
              <a16:creationId xmlns:a16="http://schemas.microsoft.com/office/drawing/2014/main" id="{00000000-0008-0000-0400-00000A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11" name="Obrázek 33">
          <a:extLst>
            <a:ext uri="{FF2B5EF4-FFF2-40B4-BE49-F238E27FC236}">
              <a16:creationId xmlns:a16="http://schemas.microsoft.com/office/drawing/2014/main" id="{00000000-0008-0000-0400-00000B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12" name="Obrázek 63">
          <a:extLst>
            <a:ext uri="{FF2B5EF4-FFF2-40B4-BE49-F238E27FC236}">
              <a16:creationId xmlns:a16="http://schemas.microsoft.com/office/drawing/2014/main" id="{00000000-0008-0000-0400-00000C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twoCellAnchor editAs="absolute">
    <xdr:from>
      <xdr:col>0</xdr:col>
      <xdr:colOff>0</xdr:colOff>
      <xdr:row>0</xdr:row>
      <xdr:rowOff>0</xdr:rowOff>
    </xdr:from>
    <xdr:to>
      <xdr:col>0</xdr:col>
      <xdr:colOff>0</xdr:colOff>
      <xdr:row>0</xdr:row>
      <xdr:rowOff>0</xdr:rowOff>
    </xdr:to>
    <xdr:pic>
      <xdr:nvPicPr>
        <xdr:cNvPr id="13" name="Obrázek 64">
          <a:extLst>
            <a:ext uri="{FF2B5EF4-FFF2-40B4-BE49-F238E27FC236}">
              <a16:creationId xmlns:a16="http://schemas.microsoft.com/office/drawing/2014/main" id="{00000000-0008-0000-0400-00000D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14" name="Obrázek 8">
          <a:extLst>
            <a:ext uri="{FF2B5EF4-FFF2-40B4-BE49-F238E27FC236}">
              <a16:creationId xmlns:a16="http://schemas.microsoft.com/office/drawing/2014/main" id="{00000000-0008-0000-0500-00000E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15" name="Obrázek 9">
          <a:extLst>
            <a:ext uri="{FF2B5EF4-FFF2-40B4-BE49-F238E27FC236}">
              <a16:creationId xmlns:a16="http://schemas.microsoft.com/office/drawing/2014/main" id="{00000000-0008-0000-0600-00000F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16" name="Obrázek 10">
          <a:extLst>
            <a:ext uri="{FF2B5EF4-FFF2-40B4-BE49-F238E27FC236}">
              <a16:creationId xmlns:a16="http://schemas.microsoft.com/office/drawing/2014/main" id="{00000000-0008-0000-0700-000010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0</xdr:colOff>
      <xdr:row>0</xdr:row>
      <xdr:rowOff>0</xdr:rowOff>
    </xdr:to>
    <xdr:pic>
      <xdr:nvPicPr>
        <xdr:cNvPr id="17" name="Obrázek 11">
          <a:extLst>
            <a:ext uri="{FF2B5EF4-FFF2-40B4-BE49-F238E27FC236}">
              <a16:creationId xmlns:a16="http://schemas.microsoft.com/office/drawing/2014/main" id="{00000000-0008-0000-0800-000011000000}"/>
            </a:ext>
          </a:extLst>
        </xdr:cNvPr>
        <xdr:cNvPicPr/>
      </xdr:nvPicPr>
      <xdr:blipFill>
        <a:blip xmlns:r="http://schemas.openxmlformats.org/officeDocument/2006/relationships" r:embed="rId1"/>
        <a:stretch/>
      </xdr:blipFill>
      <xdr:spPr>
        <a:xfrm>
          <a:off x="0" y="0"/>
          <a:ext cx="0" cy="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www.rozpocty-hemala.cz/" TargetMode="External"/><Relationship Id="rId1" Type="http://schemas.openxmlformats.org/officeDocument/2006/relationships/hyperlink" Target="mailto:bohuslav@rozpocty-hemala.cz"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99999"/>
    <pageSetUpPr fitToPage="1"/>
  </sheetPr>
  <dimension ref="A1:J28"/>
  <sheetViews>
    <sheetView zoomScaleNormal="100" workbookViewId="0"/>
  </sheetViews>
  <sheetFormatPr defaultColWidth="10.109375" defaultRowHeight="13.2" x14ac:dyDescent="0.25"/>
  <cols>
    <col min="2" max="2" width="1" customWidth="1"/>
    <col min="3" max="3" width="21.77734375" customWidth="1"/>
    <col min="4" max="4" width="16.21875" customWidth="1"/>
    <col min="5" max="5" width="9.77734375" customWidth="1"/>
    <col min="6" max="6" width="21.77734375" customWidth="1"/>
    <col min="7" max="7" width="3.88671875" customWidth="1"/>
    <col min="8" max="8" width="7.6640625" customWidth="1"/>
    <col min="9" max="9" width="10.5546875" customWidth="1"/>
  </cols>
  <sheetData>
    <row r="1" spans="1:10" ht="39.75" customHeight="1" x14ac:dyDescent="0.25">
      <c r="A1" s="14" t="s">
        <v>0</v>
      </c>
      <c r="B1" s="14"/>
      <c r="C1" s="14"/>
      <c r="D1" s="14"/>
      <c r="E1" s="14"/>
      <c r="F1" s="14"/>
      <c r="G1" s="14"/>
      <c r="H1" s="14"/>
      <c r="I1" s="14"/>
    </row>
    <row r="2" spans="1:10" ht="19.8" customHeight="1" x14ac:dyDescent="0.25">
      <c r="A2" s="13" t="s">
        <v>1</v>
      </c>
      <c r="B2" s="13"/>
      <c r="C2" s="12" t="str">
        <f>'Stavební rozpočet'!D2</f>
        <v>DEMOLICE PANELOVÉHO DOMU V HORNÍM PARKU</v>
      </c>
      <c r="D2" s="12"/>
      <c r="E2" s="11" t="s">
        <v>2</v>
      </c>
      <c r="F2" s="11" t="str">
        <f>'Stavební rozpočet'!J2</f>
        <v>MĚSTO ZNOJMO</v>
      </c>
      <c r="G2" s="11"/>
      <c r="H2" s="11" t="s">
        <v>3</v>
      </c>
      <c r="I2" s="10"/>
      <c r="J2" s="15"/>
    </row>
    <row r="3" spans="1:10" ht="19.8" customHeight="1" x14ac:dyDescent="0.25">
      <c r="A3" s="13"/>
      <c r="B3" s="13"/>
      <c r="C3" s="12"/>
      <c r="D3" s="12"/>
      <c r="E3" s="11"/>
      <c r="F3" s="11"/>
      <c r="G3" s="11"/>
      <c r="H3" s="11"/>
      <c r="I3" s="10"/>
      <c r="J3" s="15"/>
    </row>
    <row r="4" spans="1:10" ht="19.8" customHeight="1" x14ac:dyDescent="0.25">
      <c r="A4" s="9" t="s">
        <v>4</v>
      </c>
      <c r="B4" s="9"/>
      <c r="C4" s="8" t="str">
        <f>'Stavební rozpočet'!D4</f>
        <v>Postupná demolice panelového domu</v>
      </c>
      <c r="D4" s="8"/>
      <c r="E4" s="8" t="s">
        <v>5</v>
      </c>
      <c r="F4" s="8" t="str">
        <f>'Stavební rozpočet'!J4</f>
        <v>Ing.  Roman Zvěřina, Dolní Česká 358/25, 669 02 Znojmo</v>
      </c>
      <c r="G4" s="8"/>
      <c r="H4" s="8" t="s">
        <v>3</v>
      </c>
      <c r="I4" s="7" t="s">
        <v>6</v>
      </c>
      <c r="J4" s="15"/>
    </row>
    <row r="5" spans="1:10" ht="19.8" customHeight="1" x14ac:dyDescent="0.25">
      <c r="A5" s="9"/>
      <c r="B5" s="9"/>
      <c r="C5" s="8"/>
      <c r="D5" s="8"/>
      <c r="E5" s="8"/>
      <c r="F5" s="8"/>
      <c r="G5" s="8"/>
      <c r="H5" s="8"/>
      <c r="I5" s="7"/>
      <c r="J5" s="15"/>
    </row>
    <row r="6" spans="1:10" ht="19.8" customHeight="1" x14ac:dyDescent="0.25">
      <c r="A6" s="9" t="s">
        <v>7</v>
      </c>
      <c r="B6" s="9"/>
      <c r="C6" s="8" t="str">
        <f>'Stavební rozpočet'!D6</f>
        <v>k.ú.Znojmo-město parc.č.258/5</v>
      </c>
      <c r="D6" s="8"/>
      <c r="E6" s="8" t="s">
        <v>8</v>
      </c>
      <c r="F6" s="8" t="str">
        <f>'Stavební rozpočet'!J6</f>
        <v> </v>
      </c>
      <c r="G6" s="8"/>
      <c r="H6" s="8" t="s">
        <v>3</v>
      </c>
      <c r="I6" s="7"/>
      <c r="J6" s="15"/>
    </row>
    <row r="7" spans="1:10" ht="19.8" customHeight="1" x14ac:dyDescent="0.25">
      <c r="A7" s="9"/>
      <c r="B7" s="9"/>
      <c r="C7" s="8"/>
      <c r="D7" s="8"/>
      <c r="E7" s="8"/>
      <c r="F7" s="8"/>
      <c r="G7" s="8"/>
      <c r="H7" s="8"/>
      <c r="I7" s="7"/>
      <c r="J7" s="15"/>
    </row>
    <row r="8" spans="1:10" ht="14.85" customHeight="1" x14ac:dyDescent="0.25">
      <c r="A8" s="9" t="s">
        <v>9</v>
      </c>
      <c r="B8" s="9"/>
      <c r="C8" s="8" t="str">
        <f>'Stavební rozpočet'!H4</f>
        <v xml:space="preserve"> </v>
      </c>
      <c r="D8" s="8"/>
      <c r="E8" s="8" t="s">
        <v>10</v>
      </c>
      <c r="F8" s="8" t="str">
        <f>'Stavební rozpočet'!H6</f>
        <v xml:space="preserve"> </v>
      </c>
      <c r="G8" s="8"/>
      <c r="H8" s="6" t="s">
        <v>11</v>
      </c>
      <c r="I8" s="5">
        <v>159</v>
      </c>
      <c r="J8" s="15"/>
    </row>
    <row r="9" spans="1:10" x14ac:dyDescent="0.25">
      <c r="A9" s="9"/>
      <c r="B9" s="9"/>
      <c r="C9" s="8"/>
      <c r="D9" s="8"/>
      <c r="E9" s="8"/>
      <c r="F9" s="8"/>
      <c r="G9" s="8"/>
      <c r="H9" s="6"/>
      <c r="I9" s="5"/>
      <c r="J9" s="15"/>
    </row>
    <row r="10" spans="1:10" ht="14.85" customHeight="1" x14ac:dyDescent="0.25">
      <c r="A10" s="4" t="s">
        <v>12</v>
      </c>
      <c r="B10" s="4"/>
      <c r="C10" s="3" t="str">
        <f>'Stavební rozpočet'!D8</f>
        <v>80331</v>
      </c>
      <c r="D10" s="3"/>
      <c r="E10" s="3" t="s">
        <v>13</v>
      </c>
      <c r="F10" s="3" t="str">
        <f>'Stavební rozpočet'!J8</f>
        <v>Bohuslav Hemala</v>
      </c>
      <c r="G10" s="3"/>
      <c r="H10" s="2" t="s">
        <v>14</v>
      </c>
      <c r="I10" s="1" t="str">
        <f>'Stavební rozpočet'!H8</f>
        <v>16.05.2025</v>
      </c>
      <c r="J10" s="15"/>
    </row>
    <row r="11" spans="1:10" x14ac:dyDescent="0.25">
      <c r="A11" s="4"/>
      <c r="B11" s="4"/>
      <c r="C11" s="3"/>
      <c r="D11" s="3"/>
      <c r="E11" s="3"/>
      <c r="F11" s="3"/>
      <c r="G11" s="3"/>
      <c r="H11" s="2"/>
      <c r="I11" s="1"/>
      <c r="J11" s="15"/>
    </row>
    <row r="12" spans="1:10" ht="27.45" customHeight="1" x14ac:dyDescent="0.25">
      <c r="A12" s="149" t="s">
        <v>15</v>
      </c>
      <c r="B12" s="149"/>
      <c r="C12" s="149"/>
      <c r="D12" s="149"/>
      <c r="E12" s="149"/>
      <c r="F12" s="149"/>
      <c r="G12" s="149"/>
      <c r="H12" s="149"/>
      <c r="I12" s="149"/>
    </row>
    <row r="13" spans="1:10" ht="39.6" customHeight="1" x14ac:dyDescent="0.25">
      <c r="A13" s="149" t="s">
        <v>16</v>
      </c>
      <c r="B13" s="149"/>
      <c r="C13" s="149"/>
      <c r="D13" s="149"/>
      <c r="E13" s="149"/>
      <c r="F13" s="149"/>
      <c r="G13" s="149"/>
      <c r="H13" s="149"/>
      <c r="I13" s="149"/>
    </row>
    <row r="14" spans="1:10" ht="27.45" customHeight="1" x14ac:dyDescent="0.25">
      <c r="A14" s="149" t="s">
        <v>17</v>
      </c>
      <c r="B14" s="149"/>
      <c r="C14" s="149"/>
      <c r="D14" s="149"/>
      <c r="E14" s="149"/>
      <c r="F14" s="149"/>
      <c r="G14" s="149"/>
      <c r="H14" s="149"/>
      <c r="I14" s="149"/>
    </row>
    <row r="15" spans="1:10" ht="16.350000000000001" customHeight="1" x14ac:dyDescent="0.25">
      <c r="A15" t="s">
        <v>18</v>
      </c>
    </row>
    <row r="16" spans="1:10" x14ac:dyDescent="0.25">
      <c r="A16" t="s">
        <v>19</v>
      </c>
    </row>
    <row r="17" spans="1:6" x14ac:dyDescent="0.25">
      <c r="A17" t="s">
        <v>20</v>
      </c>
    </row>
    <row r="18" spans="1:6" x14ac:dyDescent="0.25">
      <c r="A18" s="19" t="s">
        <v>21</v>
      </c>
      <c r="B18" s="19"/>
      <c r="C18" s="19"/>
      <c r="D18" s="19"/>
      <c r="E18" s="19"/>
      <c r="F18" s="19"/>
    </row>
    <row r="19" spans="1:6" x14ac:dyDescent="0.25">
      <c r="A19" t="s">
        <v>22</v>
      </c>
    </row>
    <row r="20" spans="1:6" x14ac:dyDescent="0.25">
      <c r="A20" s="20" t="str">
        <f>I10</f>
        <v>16.05.2025</v>
      </c>
    </row>
    <row r="21" spans="1:6" x14ac:dyDescent="0.25">
      <c r="B21" t="s">
        <v>23</v>
      </c>
    </row>
    <row r="22" spans="1:6" x14ac:dyDescent="0.25">
      <c r="B22" t="s">
        <v>24</v>
      </c>
    </row>
    <row r="23" spans="1:6" x14ac:dyDescent="0.25">
      <c r="B23" t="s">
        <v>25</v>
      </c>
    </row>
    <row r="24" spans="1:6" x14ac:dyDescent="0.25">
      <c r="B24" t="s">
        <v>26</v>
      </c>
    </row>
    <row r="25" spans="1:6" x14ac:dyDescent="0.25">
      <c r="B25" s="21" t="s">
        <v>27</v>
      </c>
    </row>
    <row r="26" spans="1:6" x14ac:dyDescent="0.25">
      <c r="B26" s="21" t="s">
        <v>28</v>
      </c>
    </row>
    <row r="28" spans="1:6" x14ac:dyDescent="0.25">
      <c r="A28" t="s">
        <v>29</v>
      </c>
      <c r="B28" s="21"/>
    </row>
  </sheetData>
  <mergeCells count="34">
    <mergeCell ref="A12:I12"/>
    <mergeCell ref="A13:I13"/>
    <mergeCell ref="A14:I14"/>
    <mergeCell ref="I8:I9"/>
    <mergeCell ref="A10:B11"/>
    <mergeCell ref="C10:D11"/>
    <mergeCell ref="E10:E11"/>
    <mergeCell ref="F10:G11"/>
    <mergeCell ref="H10:H11"/>
    <mergeCell ref="I10:I11"/>
    <mergeCell ref="A8:B9"/>
    <mergeCell ref="C8:D9"/>
    <mergeCell ref="E8:E9"/>
    <mergeCell ref="F8:G9"/>
    <mergeCell ref="H8:H9"/>
    <mergeCell ref="I4:I5"/>
    <mergeCell ref="A6:B7"/>
    <mergeCell ref="C6:D7"/>
    <mergeCell ref="E6:E7"/>
    <mergeCell ref="F6:G7"/>
    <mergeCell ref="H6:H7"/>
    <mergeCell ref="I6:I7"/>
    <mergeCell ref="A4:B5"/>
    <mergeCell ref="C4:D5"/>
    <mergeCell ref="E4:E5"/>
    <mergeCell ref="F4:G5"/>
    <mergeCell ref="H4:H5"/>
    <mergeCell ref="A1:I1"/>
    <mergeCell ref="A2:B3"/>
    <mergeCell ref="C2:D3"/>
    <mergeCell ref="E2:E3"/>
    <mergeCell ref="F2:G3"/>
    <mergeCell ref="H2:H3"/>
    <mergeCell ref="I2:I3"/>
  </mergeCells>
  <hyperlinks>
    <hyperlink ref="B25" r:id="rId1" xr:uid="{00000000-0004-0000-0000-000000000000}"/>
    <hyperlink ref="B26" r:id="rId2" xr:uid="{00000000-0004-0000-0000-000001000000}"/>
  </hyperlinks>
  <pageMargins left="0.78749999999999998" right="0.78749999999999998" top="1.05277777777778" bottom="1.05277777777778" header="0.78749999999999998" footer="0.78749999999999998"/>
  <pageSetup paperSize="9" fitToHeight="2" orientation="portrait" useFirstPageNumber="1" horizontalDpi="300" verticalDpi="300"/>
  <headerFooter>
    <oddHeader>&amp;C&amp;"Times New Roman,obyčejné"&amp;12&amp;A</oddHeader>
    <oddFooter>&amp;C&amp;"Times New Roman,obyčejné"&amp;12Stránka &amp;P z &amp;N</oddFoot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4500"/>
    <pageSetUpPr fitToPage="1"/>
  </sheetPr>
  <dimension ref="A1:BZ118"/>
  <sheetViews>
    <sheetView zoomScaleNormal="100" workbookViewId="0">
      <pane ySplit="11" topLeftCell="A12" activePane="bottomLeft" state="frozen"/>
      <selection pane="bottomLeft"/>
    </sheetView>
  </sheetViews>
  <sheetFormatPr defaultColWidth="12.109375" defaultRowHeight="14.4" x14ac:dyDescent="0.3"/>
  <cols>
    <col min="1" max="1" width="4" style="22" customWidth="1"/>
    <col min="2" max="2" width="7.6640625" style="22" customWidth="1"/>
    <col min="3" max="3" width="17.88671875" style="22" customWidth="1"/>
    <col min="4" max="4" width="42.88671875" style="65" customWidth="1"/>
    <col min="5" max="5" width="9.109375" style="22" customWidth="1"/>
    <col min="6" max="6" width="4.33203125" style="22" customWidth="1"/>
    <col min="7" max="7" width="11.21875" style="66" customWidth="1"/>
    <col min="8" max="8" width="12" style="22" customWidth="1"/>
    <col min="9" max="9" width="11.109375" style="22" customWidth="1"/>
    <col min="10" max="10" width="10" style="22" customWidth="1"/>
    <col min="11" max="11" width="13.88671875" style="22" customWidth="1"/>
    <col min="12" max="13" width="15.6640625" style="22" customWidth="1"/>
    <col min="14" max="14" width="7.5546875" style="22" customWidth="1"/>
    <col min="15" max="15" width="7.77734375" style="22" customWidth="1"/>
    <col min="16" max="16" width="11.109375" style="22" customWidth="1"/>
    <col min="25" max="75" width="12.109375" style="22" hidden="1"/>
    <col min="76" max="76" width="78.5546875" style="22" hidden="1" customWidth="1"/>
    <col min="77" max="78" width="12.109375" style="22" hidden="1"/>
  </cols>
  <sheetData>
    <row r="1" spans="1:76" ht="39.75" customHeight="1" x14ac:dyDescent="0.3">
      <c r="A1" s="205" t="s">
        <v>919</v>
      </c>
      <c r="B1" s="205"/>
      <c r="C1" s="205"/>
      <c r="D1" s="205"/>
      <c r="E1" s="205"/>
      <c r="F1" s="205"/>
      <c r="G1" s="205"/>
      <c r="H1" s="205"/>
      <c r="I1" s="205"/>
      <c r="J1" s="205"/>
      <c r="K1" s="205"/>
      <c r="L1" s="205"/>
      <c r="M1" s="205"/>
      <c r="N1" s="205"/>
      <c r="O1" s="205"/>
      <c r="P1" s="205"/>
      <c r="AS1" s="68">
        <f>SUM(AJ1:AJ2)</f>
        <v>0</v>
      </c>
      <c r="AT1" s="68">
        <f>SUM(AK1:AK2)</f>
        <v>0</v>
      </c>
      <c r="AU1" s="68">
        <f>SUM(AL1:AL2)</f>
        <v>0</v>
      </c>
    </row>
    <row r="2" spans="1:76" ht="15" customHeight="1" x14ac:dyDescent="0.3">
      <c r="A2" s="13" t="s">
        <v>1</v>
      </c>
      <c r="B2" s="13"/>
      <c r="C2" s="13"/>
      <c r="D2" s="12" t="str">
        <f>'Stavební rozpočet'!D2</f>
        <v>DEMOLICE PANELOVÉHO DOMU V HORNÍM PARKU</v>
      </c>
      <c r="E2" s="12"/>
      <c r="F2" s="193" t="s">
        <v>94</v>
      </c>
      <c r="G2" s="193"/>
      <c r="H2" s="11" t="str">
        <f>'Stavební rozpočet'!H2</f>
        <v xml:space="preserve"> </v>
      </c>
      <c r="I2" s="11" t="s">
        <v>2</v>
      </c>
      <c r="J2" s="11"/>
      <c r="K2" s="181" t="str">
        <f>'Stavební rozpočet'!J2</f>
        <v>MĚSTO ZNOJMO</v>
      </c>
      <c r="L2" s="181"/>
      <c r="M2" s="181"/>
      <c r="N2" s="181"/>
      <c r="O2" s="181"/>
      <c r="P2" s="181"/>
    </row>
    <row r="3" spans="1:76" x14ac:dyDescent="0.3">
      <c r="A3" s="13"/>
      <c r="B3" s="13"/>
      <c r="C3" s="13"/>
      <c r="D3" s="12"/>
      <c r="E3" s="12"/>
      <c r="F3" s="193"/>
      <c r="G3" s="193"/>
      <c r="H3" s="11"/>
      <c r="I3" s="11"/>
      <c r="J3" s="11"/>
      <c r="K3" s="181"/>
      <c r="L3" s="181"/>
      <c r="M3" s="181"/>
      <c r="N3" s="181"/>
      <c r="O3" s="181"/>
      <c r="P3" s="181"/>
    </row>
    <row r="4" spans="1:76" ht="15" customHeight="1" x14ac:dyDescent="0.3">
      <c r="A4" s="9" t="s">
        <v>4</v>
      </c>
      <c r="B4" s="9"/>
      <c r="C4" s="9"/>
      <c r="D4" s="8" t="str">
        <f>'Stavební rozpočet'!D4</f>
        <v>Postupná demolice panelového domu</v>
      </c>
      <c r="E4" s="8"/>
      <c r="F4" s="6" t="s">
        <v>9</v>
      </c>
      <c r="G4" s="6"/>
      <c r="H4" s="8" t="str">
        <f>'Stavební rozpočet'!H4</f>
        <v xml:space="preserve"> </v>
      </c>
      <c r="I4" s="8" t="s">
        <v>5</v>
      </c>
      <c r="J4" s="8"/>
      <c r="K4" s="182" t="str">
        <f>'Stavební rozpočet'!J4</f>
        <v>Ing.  Roman Zvěřina, Dolní Česká 358/25, 669 02 Znojmo</v>
      </c>
      <c r="L4" s="182"/>
      <c r="M4" s="182"/>
      <c r="N4" s="182"/>
      <c r="O4" s="182"/>
      <c r="P4" s="182"/>
    </row>
    <row r="5" spans="1:76" x14ac:dyDescent="0.3">
      <c r="A5" s="9"/>
      <c r="B5" s="9"/>
      <c r="C5" s="9"/>
      <c r="D5" s="8"/>
      <c r="E5" s="8"/>
      <c r="F5" s="6"/>
      <c r="G5" s="6"/>
      <c r="H5" s="8"/>
      <c r="I5" s="8"/>
      <c r="J5" s="8"/>
      <c r="K5" s="182"/>
      <c r="L5" s="182"/>
      <c r="M5" s="182"/>
      <c r="N5" s="182"/>
      <c r="O5" s="182"/>
      <c r="P5" s="182"/>
    </row>
    <row r="6" spans="1:76" ht="15" customHeight="1" x14ac:dyDescent="0.3">
      <c r="A6" s="9" t="s">
        <v>7</v>
      </c>
      <c r="B6" s="9"/>
      <c r="C6" s="9"/>
      <c r="D6" s="8" t="str">
        <f>'Stavební rozpočet'!D6</f>
        <v>k.ú.Znojmo-město parc.č.258/5</v>
      </c>
      <c r="E6" s="8"/>
      <c r="F6" s="6" t="s">
        <v>10</v>
      </c>
      <c r="G6" s="6"/>
      <c r="H6" s="8" t="str">
        <f>'Stavební rozpočet'!H6</f>
        <v xml:space="preserve"> </v>
      </c>
      <c r="I6" s="8" t="s">
        <v>8</v>
      </c>
      <c r="J6" s="8"/>
      <c r="K6" s="182" t="str">
        <f>'Stavební rozpočet'!J6</f>
        <v> </v>
      </c>
      <c r="L6" s="182"/>
      <c r="M6" s="182"/>
      <c r="N6" s="182"/>
      <c r="O6" s="182"/>
      <c r="P6" s="182"/>
    </row>
    <row r="7" spans="1:76" x14ac:dyDescent="0.3">
      <c r="A7" s="9"/>
      <c r="B7" s="9"/>
      <c r="C7" s="9"/>
      <c r="D7" s="8"/>
      <c r="E7" s="8"/>
      <c r="F7" s="6"/>
      <c r="G7" s="6"/>
      <c r="H7" s="8"/>
      <c r="I7" s="8"/>
      <c r="J7" s="8"/>
      <c r="K7" s="182"/>
      <c r="L7" s="182"/>
      <c r="M7" s="182"/>
      <c r="N7" s="182"/>
      <c r="O7" s="182"/>
      <c r="P7" s="182"/>
    </row>
    <row r="8" spans="1:76" ht="15" customHeight="1" x14ac:dyDescent="0.3">
      <c r="A8" s="9" t="s">
        <v>12</v>
      </c>
      <c r="B8" s="9"/>
      <c r="C8" s="9"/>
      <c r="D8" s="8" t="str">
        <f>'Stavební rozpočet'!D8</f>
        <v>80331</v>
      </c>
      <c r="E8" s="8"/>
      <c r="F8" s="6" t="s">
        <v>95</v>
      </c>
      <c r="G8" s="6"/>
      <c r="H8" s="8" t="str">
        <f>'Stavební rozpočet'!H8</f>
        <v>16.05.2025</v>
      </c>
      <c r="I8" s="8" t="s">
        <v>13</v>
      </c>
      <c r="J8" s="8"/>
      <c r="K8" s="182" t="str">
        <f>'Stavební rozpočet'!J8</f>
        <v>Bohuslav Hemala</v>
      </c>
      <c r="L8" s="182"/>
      <c r="M8" s="182"/>
      <c r="N8" s="182"/>
      <c r="O8" s="182"/>
      <c r="P8" s="182"/>
    </row>
    <row r="9" spans="1:76" x14ac:dyDescent="0.3">
      <c r="A9" s="9"/>
      <c r="B9" s="9"/>
      <c r="C9" s="9"/>
      <c r="D9" s="8"/>
      <c r="E9" s="8"/>
      <c r="F9" s="6"/>
      <c r="G9" s="6"/>
      <c r="H9" s="8"/>
      <c r="I9" s="8"/>
      <c r="J9" s="8"/>
      <c r="K9" s="182"/>
      <c r="L9" s="182"/>
      <c r="M9" s="182"/>
      <c r="N9" s="182"/>
      <c r="O9" s="182"/>
      <c r="P9" s="182"/>
    </row>
    <row r="10" spans="1:76" ht="15" customHeight="1" x14ac:dyDescent="0.3">
      <c r="A10" s="69" t="s">
        <v>122</v>
      </c>
      <c r="B10" s="70" t="s">
        <v>99</v>
      </c>
      <c r="C10" s="70" t="s">
        <v>123</v>
      </c>
      <c r="D10" s="194" t="s">
        <v>100</v>
      </c>
      <c r="E10" s="194"/>
      <c r="F10" s="70" t="s">
        <v>124</v>
      </c>
      <c r="G10" s="71" t="s">
        <v>125</v>
      </c>
      <c r="H10" s="72" t="s">
        <v>126</v>
      </c>
      <c r="I10" s="73" t="s">
        <v>920</v>
      </c>
      <c r="J10" s="184" t="s">
        <v>97</v>
      </c>
      <c r="K10" s="184"/>
      <c r="L10" s="184"/>
      <c r="M10" s="47" t="s">
        <v>97</v>
      </c>
      <c r="N10" s="195" t="s">
        <v>98</v>
      </c>
      <c r="O10" s="195"/>
      <c r="P10" s="74" t="s">
        <v>128</v>
      </c>
      <c r="BK10" s="75" t="s">
        <v>129</v>
      </c>
      <c r="BL10" s="76" t="s">
        <v>130</v>
      </c>
      <c r="BW10" s="76" t="s">
        <v>131</v>
      </c>
    </row>
    <row r="11" spans="1:76" ht="15" customHeight="1" x14ac:dyDescent="0.3">
      <c r="A11" s="77" t="s">
        <v>96</v>
      </c>
      <c r="B11" s="78" t="s">
        <v>96</v>
      </c>
      <c r="C11" s="78" t="s">
        <v>96</v>
      </c>
      <c r="D11" s="196" t="s">
        <v>132</v>
      </c>
      <c r="E11" s="196"/>
      <c r="F11" s="78" t="s">
        <v>96</v>
      </c>
      <c r="G11" s="79" t="s">
        <v>96</v>
      </c>
      <c r="H11" s="80" t="s">
        <v>133</v>
      </c>
      <c r="I11" s="81" t="s">
        <v>96</v>
      </c>
      <c r="J11" s="49" t="s">
        <v>101</v>
      </c>
      <c r="K11" s="50" t="s">
        <v>39</v>
      </c>
      <c r="L11" s="51" t="s">
        <v>102</v>
      </c>
      <c r="M11" s="51" t="s">
        <v>135</v>
      </c>
      <c r="N11" s="50" t="s">
        <v>136</v>
      </c>
      <c r="O11" s="80" t="s">
        <v>102</v>
      </c>
      <c r="P11" s="49" t="s">
        <v>137</v>
      </c>
      <c r="Z11" s="75" t="s">
        <v>138</v>
      </c>
      <c r="AA11" s="75" t="s">
        <v>139</v>
      </c>
      <c r="AB11" s="75" t="s">
        <v>140</v>
      </c>
      <c r="AC11" s="75" t="s">
        <v>141</v>
      </c>
      <c r="AD11" s="75" t="s">
        <v>142</v>
      </c>
      <c r="AE11" s="75" t="s">
        <v>143</v>
      </c>
      <c r="AF11" s="75" t="s">
        <v>144</v>
      </c>
      <c r="AG11" s="75" t="s">
        <v>145</v>
      </c>
      <c r="AH11" s="75" t="s">
        <v>146</v>
      </c>
      <c r="BH11" s="75" t="s">
        <v>147</v>
      </c>
      <c r="BI11" s="75" t="s">
        <v>148</v>
      </c>
      <c r="BJ11" s="75" t="s">
        <v>149</v>
      </c>
    </row>
    <row r="12" spans="1:76" ht="19.8" customHeight="1" x14ac:dyDescent="0.3">
      <c r="A12" s="52"/>
      <c r="B12" s="83" t="s">
        <v>103</v>
      </c>
      <c r="C12" s="83"/>
      <c r="D12" s="197" t="s">
        <v>104</v>
      </c>
      <c r="E12" s="197"/>
      <c r="F12" s="52" t="s">
        <v>96</v>
      </c>
      <c r="G12" s="84" t="s">
        <v>96</v>
      </c>
      <c r="H12" s="52" t="s">
        <v>96</v>
      </c>
      <c r="I12" s="52" t="s">
        <v>96</v>
      </c>
      <c r="J12" s="85">
        <f>J13+J16+J18+J22+J25+J32+J35+J37+J40+J42+J48+J51+J53+J62+J68+J85+J89+J93</f>
        <v>0</v>
      </c>
      <c r="K12" s="85">
        <f>K13+K16+K18+K22+K25+K32+K35+K37+K40+K42+K48+K51+K53+K62+K68+K85+K89+K93</f>
        <v>0</v>
      </c>
      <c r="L12" s="85">
        <f>L13+L16+L18+L22+L25+L32+L35+L37+L40+L42+L48+L51+L53+L62+L68+L85+L89+L93</f>
        <v>0</v>
      </c>
      <c r="M12" s="85">
        <f>M13+M16+M18+M22+M25+M32+M35+M37+M40+M42+M48+M51+M53+M62+M68+M85+M89+M93</f>
        <v>0</v>
      </c>
      <c r="N12" s="86"/>
      <c r="O12" s="85">
        <f>O13+O16+O18+O22+O25+O32+O35+O37+O40+O42+O48+O51+O53+O62+O68+O85+O89+O93</f>
        <v>860.37054708000005</v>
      </c>
      <c r="P12" s="86"/>
    </row>
    <row r="13" spans="1:76" ht="15" customHeight="1" x14ac:dyDescent="0.3">
      <c r="A13" s="88"/>
      <c r="B13" s="89" t="s">
        <v>103</v>
      </c>
      <c r="C13" s="89" t="s">
        <v>150</v>
      </c>
      <c r="D13" s="198" t="s">
        <v>151</v>
      </c>
      <c r="E13" s="198"/>
      <c r="F13" s="88" t="s">
        <v>96</v>
      </c>
      <c r="G13" s="90" t="s">
        <v>96</v>
      </c>
      <c r="H13" s="88" t="s">
        <v>96</v>
      </c>
      <c r="I13" s="88" t="s">
        <v>96</v>
      </c>
      <c r="J13" s="91">
        <f>SUM(J14:J15)</f>
        <v>0</v>
      </c>
      <c r="K13" s="91">
        <f>SUM(K14:K15)</f>
        <v>0</v>
      </c>
      <c r="L13" s="91">
        <f>SUM(L14:L15)</f>
        <v>0</v>
      </c>
      <c r="M13" s="91">
        <f>SUM(M14:M15)</f>
        <v>0</v>
      </c>
      <c r="N13" s="92"/>
      <c r="O13" s="91">
        <f>SUM(O14:O15)</f>
        <v>3.8880000000000003</v>
      </c>
      <c r="P13" s="92"/>
      <c r="AI13" s="75" t="s">
        <v>103</v>
      </c>
      <c r="AS13" s="68">
        <f>SUM(AJ14:AJ15)</f>
        <v>0</v>
      </c>
      <c r="AT13" s="68">
        <f>SUM(AK14:AK15)</f>
        <v>0</v>
      </c>
      <c r="AU13" s="68">
        <f>SUM(AL14:AL15)</f>
        <v>0</v>
      </c>
    </row>
    <row r="14" spans="1:76" ht="15" customHeight="1" x14ac:dyDescent="0.3">
      <c r="A14" s="94" t="s">
        <v>152</v>
      </c>
      <c r="B14" s="94" t="s">
        <v>103</v>
      </c>
      <c r="C14" s="94" t="s">
        <v>153</v>
      </c>
      <c r="D14" s="199" t="s">
        <v>154</v>
      </c>
      <c r="E14" s="199"/>
      <c r="F14" s="94" t="s">
        <v>155</v>
      </c>
      <c r="G14" s="96">
        <f>'Stavební rozpočet'!G14</f>
        <v>162</v>
      </c>
      <c r="H14" s="97">
        <f>'Stavební rozpočet'!H14</f>
        <v>0</v>
      </c>
      <c r="I14" s="98">
        <v>21</v>
      </c>
      <c r="J14" s="97">
        <f>ROUND(G14*AO14,2)</f>
        <v>0</v>
      </c>
      <c r="K14" s="97">
        <f>ROUND(G14*AP14,2)</f>
        <v>0</v>
      </c>
      <c r="L14" s="97">
        <f>ROUND(G14*H14,2)</f>
        <v>0</v>
      </c>
      <c r="M14" s="97">
        <f>L14*(1+BW14/100)</f>
        <v>0</v>
      </c>
      <c r="N14" s="97">
        <f>'Stavební rozpočet'!N14</f>
        <v>0.01</v>
      </c>
      <c r="O14" s="97">
        <f>G14*N14</f>
        <v>1.62</v>
      </c>
      <c r="P14" s="99" t="s">
        <v>156</v>
      </c>
      <c r="Z14" s="55">
        <f>ROUND(IF(AQ14="5",BJ14,0),2)</f>
        <v>0</v>
      </c>
      <c r="AB14" s="55">
        <f>ROUND(IF(AQ14="1",BH14,0),2)</f>
        <v>0</v>
      </c>
      <c r="AC14" s="55">
        <f>ROUND(IF(AQ14="1",BI14,0),2)</f>
        <v>0</v>
      </c>
      <c r="AD14" s="55">
        <f>ROUND(IF(AQ14="7",BH14,0),2)</f>
        <v>0</v>
      </c>
      <c r="AE14" s="55">
        <f>ROUND(IF(AQ14="7",BI14,0),2)</f>
        <v>0</v>
      </c>
      <c r="AF14" s="55">
        <f>ROUND(IF(AQ14="2",BH14,0),2)</f>
        <v>0</v>
      </c>
      <c r="AG14" s="55">
        <f>ROUND(IF(AQ14="2",BI14,0),2)</f>
        <v>0</v>
      </c>
      <c r="AH14" s="55">
        <f>ROUND(IF(AQ14="0",BJ14,0),2)</f>
        <v>0</v>
      </c>
      <c r="AI14" s="75" t="s">
        <v>103</v>
      </c>
      <c r="AJ14" s="55">
        <f>IF(AN14=0,L14,0)</f>
        <v>0</v>
      </c>
      <c r="AK14" s="55">
        <f>IF(AN14=12,L14,0)</f>
        <v>0</v>
      </c>
      <c r="AL14" s="55">
        <f>IF(AN14=21,L14,0)</f>
        <v>0</v>
      </c>
      <c r="AN14" s="55">
        <v>21</v>
      </c>
      <c r="AO14" s="55">
        <f>H14*0</f>
        <v>0</v>
      </c>
      <c r="AP14" s="55">
        <f>H14*(1-0)</f>
        <v>0</v>
      </c>
      <c r="AQ14" s="54" t="s">
        <v>157</v>
      </c>
      <c r="AV14" s="55">
        <f>ROUND(AW14+AX14,2)</f>
        <v>0</v>
      </c>
      <c r="AW14" s="55">
        <f>ROUND(G14*AO14,2)</f>
        <v>0</v>
      </c>
      <c r="AX14" s="55">
        <f>ROUND(G14*AP14,2)</f>
        <v>0</v>
      </c>
      <c r="AY14" s="54" t="s">
        <v>158</v>
      </c>
      <c r="AZ14" s="54" t="s">
        <v>159</v>
      </c>
      <c r="BA14" s="75" t="s">
        <v>160</v>
      </c>
      <c r="BC14" s="55">
        <f>AW14+AX14</f>
        <v>0</v>
      </c>
      <c r="BD14" s="55">
        <f>H14/(100-BE14)*100</f>
        <v>0</v>
      </c>
      <c r="BE14" s="55">
        <v>0</v>
      </c>
      <c r="BF14" s="55">
        <f>O14</f>
        <v>1.62</v>
      </c>
      <c r="BH14" s="55">
        <f>G14*AO14</f>
        <v>0</v>
      </c>
      <c r="BI14" s="55">
        <f>G14*AP14</f>
        <v>0</v>
      </c>
      <c r="BJ14" s="55">
        <f>G14*H14</f>
        <v>0</v>
      </c>
      <c r="BK14" s="54" t="s">
        <v>161</v>
      </c>
      <c r="BL14" s="55">
        <v>712</v>
      </c>
      <c r="BW14" s="55">
        <f>I14</f>
        <v>21</v>
      </c>
      <c r="BX14" s="16" t="s">
        <v>154</v>
      </c>
    </row>
    <row r="15" spans="1:76" ht="15" customHeight="1" x14ac:dyDescent="0.3">
      <c r="A15" s="94" t="s">
        <v>162</v>
      </c>
      <c r="B15" s="94" t="s">
        <v>103</v>
      </c>
      <c r="C15" s="94" t="s">
        <v>163</v>
      </c>
      <c r="D15" s="199" t="s">
        <v>164</v>
      </c>
      <c r="E15" s="199"/>
      <c r="F15" s="94" t="s">
        <v>155</v>
      </c>
      <c r="G15" s="96">
        <f>'Stavební rozpočet'!G15</f>
        <v>162</v>
      </c>
      <c r="H15" s="97">
        <f>'Stavební rozpočet'!H15</f>
        <v>0</v>
      </c>
      <c r="I15" s="98">
        <v>21</v>
      </c>
      <c r="J15" s="97">
        <f>ROUND(G15*AO15,2)</f>
        <v>0</v>
      </c>
      <c r="K15" s="97">
        <f>ROUND(G15*AP15,2)</f>
        <v>0</v>
      </c>
      <c r="L15" s="97">
        <f>ROUND(G15*H15,2)</f>
        <v>0</v>
      </c>
      <c r="M15" s="97">
        <f>L15*(1+BW15/100)</f>
        <v>0</v>
      </c>
      <c r="N15" s="97">
        <f>'Stavební rozpočet'!N15</f>
        <v>1.4E-2</v>
      </c>
      <c r="O15" s="97">
        <f>G15*N15</f>
        <v>2.2680000000000002</v>
      </c>
      <c r="P15" s="99" t="s">
        <v>156</v>
      </c>
      <c r="Z15" s="55">
        <f>ROUND(IF(AQ15="5",BJ15,0),2)</f>
        <v>0</v>
      </c>
      <c r="AB15" s="55">
        <f>ROUND(IF(AQ15="1",BH15,0),2)</f>
        <v>0</v>
      </c>
      <c r="AC15" s="55">
        <f>ROUND(IF(AQ15="1",BI15,0),2)</f>
        <v>0</v>
      </c>
      <c r="AD15" s="55">
        <f>ROUND(IF(AQ15="7",BH15,0),2)</f>
        <v>0</v>
      </c>
      <c r="AE15" s="55">
        <f>ROUND(IF(AQ15="7",BI15,0),2)</f>
        <v>0</v>
      </c>
      <c r="AF15" s="55">
        <f>ROUND(IF(AQ15="2",BH15,0),2)</f>
        <v>0</v>
      </c>
      <c r="AG15" s="55">
        <f>ROUND(IF(AQ15="2",BI15,0),2)</f>
        <v>0</v>
      </c>
      <c r="AH15" s="55">
        <f>ROUND(IF(AQ15="0",BJ15,0),2)</f>
        <v>0</v>
      </c>
      <c r="AI15" s="75" t="s">
        <v>103</v>
      </c>
      <c r="AJ15" s="55">
        <f>IF(AN15=0,L15,0)</f>
        <v>0</v>
      </c>
      <c r="AK15" s="55">
        <f>IF(AN15=12,L15,0)</f>
        <v>0</v>
      </c>
      <c r="AL15" s="55">
        <f>IF(AN15=21,L15,0)</f>
        <v>0</v>
      </c>
      <c r="AN15" s="55">
        <v>21</v>
      </c>
      <c r="AO15" s="55">
        <f>H15*0</f>
        <v>0</v>
      </c>
      <c r="AP15" s="55">
        <f>H15*(1-0)</f>
        <v>0</v>
      </c>
      <c r="AQ15" s="54" t="s">
        <v>157</v>
      </c>
      <c r="AV15" s="55">
        <f>ROUND(AW15+AX15,2)</f>
        <v>0</v>
      </c>
      <c r="AW15" s="55">
        <f>ROUND(G15*AO15,2)</f>
        <v>0</v>
      </c>
      <c r="AX15" s="55">
        <f>ROUND(G15*AP15,2)</f>
        <v>0</v>
      </c>
      <c r="AY15" s="54" t="s">
        <v>158</v>
      </c>
      <c r="AZ15" s="54" t="s">
        <v>159</v>
      </c>
      <c r="BA15" s="75" t="s">
        <v>160</v>
      </c>
      <c r="BC15" s="55">
        <f>AW15+AX15</f>
        <v>0</v>
      </c>
      <c r="BD15" s="55">
        <f>H15/(100-BE15)*100</f>
        <v>0</v>
      </c>
      <c r="BE15" s="55">
        <v>0</v>
      </c>
      <c r="BF15" s="55">
        <f>O15</f>
        <v>2.2680000000000002</v>
      </c>
      <c r="BH15" s="55">
        <f>G15*AO15</f>
        <v>0</v>
      </c>
      <c r="BI15" s="55">
        <f>G15*AP15</f>
        <v>0</v>
      </c>
      <c r="BJ15" s="55">
        <f>G15*H15</f>
        <v>0</v>
      </c>
      <c r="BK15" s="54" t="s">
        <v>161</v>
      </c>
      <c r="BL15" s="55">
        <v>712</v>
      </c>
      <c r="BW15" s="55">
        <f>I15</f>
        <v>21</v>
      </c>
      <c r="BX15" s="16" t="s">
        <v>164</v>
      </c>
    </row>
    <row r="16" spans="1:76" ht="15" customHeight="1" x14ac:dyDescent="0.3">
      <c r="A16" s="88"/>
      <c r="B16" s="89" t="s">
        <v>103</v>
      </c>
      <c r="C16" s="89" t="s">
        <v>165</v>
      </c>
      <c r="D16" s="198" t="s">
        <v>166</v>
      </c>
      <c r="E16" s="198"/>
      <c r="F16" s="88" t="s">
        <v>96</v>
      </c>
      <c r="G16" s="90" t="s">
        <v>96</v>
      </c>
      <c r="H16" s="88" t="s">
        <v>96</v>
      </c>
      <c r="I16" s="88" t="s">
        <v>96</v>
      </c>
      <c r="J16" s="91">
        <f>SUM(J17)</f>
        <v>0</v>
      </c>
      <c r="K16" s="91">
        <f>SUM(K17)</f>
        <v>0</v>
      </c>
      <c r="L16" s="91">
        <f>SUM(L17)</f>
        <v>0</v>
      </c>
      <c r="M16" s="91">
        <f>SUM(M17)</f>
        <v>0</v>
      </c>
      <c r="N16" s="92"/>
      <c r="O16" s="91">
        <f>SUM(O17)</f>
        <v>2.0249999999999999</v>
      </c>
      <c r="P16" s="92"/>
      <c r="AI16" s="75" t="s">
        <v>103</v>
      </c>
      <c r="AS16" s="68">
        <f>SUM(AJ17)</f>
        <v>0</v>
      </c>
      <c r="AT16" s="68">
        <f>SUM(AK17)</f>
        <v>0</v>
      </c>
      <c r="AU16" s="68">
        <f>SUM(AL17)</f>
        <v>0</v>
      </c>
    </row>
    <row r="17" spans="1:76" ht="15" customHeight="1" x14ac:dyDescent="0.3">
      <c r="A17" s="94" t="s">
        <v>167</v>
      </c>
      <c r="B17" s="94" t="s">
        <v>103</v>
      </c>
      <c r="C17" s="94" t="s">
        <v>168</v>
      </c>
      <c r="D17" s="199" t="s">
        <v>169</v>
      </c>
      <c r="E17" s="199"/>
      <c r="F17" s="94" t="s">
        <v>155</v>
      </c>
      <c r="G17" s="96">
        <f>'Stavební rozpočet'!G17</f>
        <v>162</v>
      </c>
      <c r="H17" s="97">
        <f>'Stavební rozpočet'!H17</f>
        <v>0</v>
      </c>
      <c r="I17" s="98">
        <v>21</v>
      </c>
      <c r="J17" s="97">
        <f>ROUND(G17*AO17,2)</f>
        <v>0</v>
      </c>
      <c r="K17" s="97">
        <f>ROUND(G17*AP17,2)</f>
        <v>0</v>
      </c>
      <c r="L17" s="97">
        <f>ROUND(G17*H17,2)</f>
        <v>0</v>
      </c>
      <c r="M17" s="97">
        <f>L17*(1+BW17/100)</f>
        <v>0</v>
      </c>
      <c r="N17" s="97">
        <f>'Stavební rozpočet'!N17</f>
        <v>1.2500000000000001E-2</v>
      </c>
      <c r="O17" s="97">
        <f>G17*N17</f>
        <v>2.0249999999999999</v>
      </c>
      <c r="P17" s="99" t="s">
        <v>156</v>
      </c>
      <c r="Z17" s="55">
        <f>ROUND(IF(AQ17="5",BJ17,0),2)</f>
        <v>0</v>
      </c>
      <c r="AB17" s="55">
        <f>ROUND(IF(AQ17="1",BH17,0),2)</f>
        <v>0</v>
      </c>
      <c r="AC17" s="55">
        <f>ROUND(IF(AQ17="1",BI17,0),2)</f>
        <v>0</v>
      </c>
      <c r="AD17" s="55">
        <f>ROUND(IF(AQ17="7",BH17,0),2)</f>
        <v>0</v>
      </c>
      <c r="AE17" s="55">
        <f>ROUND(IF(AQ17="7",BI17,0),2)</f>
        <v>0</v>
      </c>
      <c r="AF17" s="55">
        <f>ROUND(IF(AQ17="2",BH17,0),2)</f>
        <v>0</v>
      </c>
      <c r="AG17" s="55">
        <f>ROUND(IF(AQ17="2",BI17,0),2)</f>
        <v>0</v>
      </c>
      <c r="AH17" s="55">
        <f>ROUND(IF(AQ17="0",BJ17,0),2)</f>
        <v>0</v>
      </c>
      <c r="AI17" s="75" t="s">
        <v>103</v>
      </c>
      <c r="AJ17" s="55">
        <f>IF(AN17=0,L17,0)</f>
        <v>0</v>
      </c>
      <c r="AK17" s="55">
        <f>IF(AN17=12,L17,0)</f>
        <v>0</v>
      </c>
      <c r="AL17" s="55">
        <f>IF(AN17=21,L17,0)</f>
        <v>0</v>
      </c>
      <c r="AN17" s="55">
        <v>21</v>
      </c>
      <c r="AO17" s="55">
        <f>H17*0</f>
        <v>0</v>
      </c>
      <c r="AP17" s="55">
        <f>H17*(1-0)</f>
        <v>0</v>
      </c>
      <c r="AQ17" s="54" t="s">
        <v>157</v>
      </c>
      <c r="AV17" s="55">
        <f>ROUND(AW17+AX17,2)</f>
        <v>0</v>
      </c>
      <c r="AW17" s="55">
        <f>ROUND(G17*AO17,2)</f>
        <v>0</v>
      </c>
      <c r="AX17" s="55">
        <f>ROUND(G17*AP17,2)</f>
        <v>0</v>
      </c>
      <c r="AY17" s="54" t="s">
        <v>170</v>
      </c>
      <c r="AZ17" s="54" t="s">
        <v>159</v>
      </c>
      <c r="BA17" s="75" t="s">
        <v>160</v>
      </c>
      <c r="BC17" s="55">
        <f>AW17+AX17</f>
        <v>0</v>
      </c>
      <c r="BD17" s="55">
        <f>H17/(100-BE17)*100</f>
        <v>0</v>
      </c>
      <c r="BE17" s="55">
        <v>0</v>
      </c>
      <c r="BF17" s="55">
        <f>O17</f>
        <v>2.0249999999999999</v>
      </c>
      <c r="BH17" s="55">
        <f>G17*AO17</f>
        <v>0</v>
      </c>
      <c r="BI17" s="55">
        <f>G17*AP17</f>
        <v>0</v>
      </c>
      <c r="BJ17" s="55">
        <f>G17*H17</f>
        <v>0</v>
      </c>
      <c r="BK17" s="54" t="s">
        <v>161</v>
      </c>
      <c r="BL17" s="55">
        <v>713</v>
      </c>
      <c r="BW17" s="55">
        <f>I17</f>
        <v>21</v>
      </c>
      <c r="BX17" s="16" t="s">
        <v>169</v>
      </c>
    </row>
    <row r="18" spans="1:76" ht="15" customHeight="1" x14ac:dyDescent="0.3">
      <c r="A18" s="88"/>
      <c r="B18" s="89" t="s">
        <v>103</v>
      </c>
      <c r="C18" s="89" t="s">
        <v>171</v>
      </c>
      <c r="D18" s="198" t="s">
        <v>172</v>
      </c>
      <c r="E18" s="198"/>
      <c r="F18" s="88" t="s">
        <v>96</v>
      </c>
      <c r="G18" s="90" t="s">
        <v>96</v>
      </c>
      <c r="H18" s="88" t="s">
        <v>96</v>
      </c>
      <c r="I18" s="88" t="s">
        <v>96</v>
      </c>
      <c r="J18" s="91">
        <f>SUM(J19:J21)</f>
        <v>0</v>
      </c>
      <c r="K18" s="91">
        <f>SUM(K19:K21)</f>
        <v>0</v>
      </c>
      <c r="L18" s="91">
        <f>SUM(L19:L21)</f>
        <v>0</v>
      </c>
      <c r="M18" s="91">
        <f>SUM(M19:M21)</f>
        <v>0</v>
      </c>
      <c r="N18" s="92"/>
      <c r="O18" s="91">
        <f>SUM(O19:O21)</f>
        <v>0.40039999999999998</v>
      </c>
      <c r="P18" s="92"/>
      <c r="AI18" s="75" t="s">
        <v>103</v>
      </c>
      <c r="AS18" s="68">
        <f>SUM(AJ19:AJ21)</f>
        <v>0</v>
      </c>
      <c r="AT18" s="68">
        <f>SUM(AK19:AK21)</f>
        <v>0</v>
      </c>
      <c r="AU18" s="68">
        <f>SUM(AL19:AL21)</f>
        <v>0</v>
      </c>
    </row>
    <row r="19" spans="1:76" ht="15" customHeight="1" x14ac:dyDescent="0.3">
      <c r="A19" s="94" t="s">
        <v>173</v>
      </c>
      <c r="B19" s="94" t="s">
        <v>103</v>
      </c>
      <c r="C19" s="94" t="s">
        <v>174</v>
      </c>
      <c r="D19" s="199" t="s">
        <v>175</v>
      </c>
      <c r="E19" s="199"/>
      <c r="F19" s="94" t="s">
        <v>176</v>
      </c>
      <c r="G19" s="96">
        <f>'Stavební rozpočet'!G19</f>
        <v>20</v>
      </c>
      <c r="H19" s="97">
        <f>'Stavební rozpočet'!H19</f>
        <v>0</v>
      </c>
      <c r="I19" s="98">
        <v>21</v>
      </c>
      <c r="J19" s="97">
        <f>ROUND(G19*AO19,2)</f>
        <v>0</v>
      </c>
      <c r="K19" s="97">
        <f>ROUND(G19*AP19,2)</f>
        <v>0</v>
      </c>
      <c r="L19" s="97">
        <f>ROUND(G19*H19,2)</f>
        <v>0</v>
      </c>
      <c r="M19" s="97">
        <f>L19*(1+BW19/100)</f>
        <v>0</v>
      </c>
      <c r="N19" s="97">
        <f>'Stavební rozpočet'!N19</f>
        <v>1.4919999999999999E-2</v>
      </c>
      <c r="O19" s="97">
        <f>G19*N19</f>
        <v>0.2984</v>
      </c>
      <c r="P19" s="99" t="s">
        <v>156</v>
      </c>
      <c r="Z19" s="55">
        <f>ROUND(IF(AQ19="5",BJ19,0),2)</f>
        <v>0</v>
      </c>
      <c r="AB19" s="55">
        <f>ROUND(IF(AQ19="1",BH19,0),2)</f>
        <v>0</v>
      </c>
      <c r="AC19" s="55">
        <f>ROUND(IF(AQ19="1",BI19,0),2)</f>
        <v>0</v>
      </c>
      <c r="AD19" s="55">
        <f>ROUND(IF(AQ19="7",BH19,0),2)</f>
        <v>0</v>
      </c>
      <c r="AE19" s="55">
        <f>ROUND(IF(AQ19="7",BI19,0),2)</f>
        <v>0</v>
      </c>
      <c r="AF19" s="55">
        <f>ROUND(IF(AQ19="2",BH19,0),2)</f>
        <v>0</v>
      </c>
      <c r="AG19" s="55">
        <f>ROUND(IF(AQ19="2",BI19,0),2)</f>
        <v>0</v>
      </c>
      <c r="AH19" s="55">
        <f>ROUND(IF(AQ19="0",BJ19,0),2)</f>
        <v>0</v>
      </c>
      <c r="AI19" s="75" t="s">
        <v>103</v>
      </c>
      <c r="AJ19" s="55">
        <f>IF(AN19=0,L19,0)</f>
        <v>0</v>
      </c>
      <c r="AK19" s="55">
        <f>IF(AN19=12,L19,0)</f>
        <v>0</v>
      </c>
      <c r="AL19" s="55">
        <f>IF(AN19=21,L19,0)</f>
        <v>0</v>
      </c>
      <c r="AN19" s="55">
        <v>21</v>
      </c>
      <c r="AO19" s="55">
        <f>H19*0</f>
        <v>0</v>
      </c>
      <c r="AP19" s="55">
        <f>H19*(1-0)</f>
        <v>0</v>
      </c>
      <c r="AQ19" s="54" t="s">
        <v>157</v>
      </c>
      <c r="AV19" s="55">
        <f>ROUND(AW19+AX19,2)</f>
        <v>0</v>
      </c>
      <c r="AW19" s="55">
        <f>ROUND(G19*AO19,2)</f>
        <v>0</v>
      </c>
      <c r="AX19" s="55">
        <f>ROUND(G19*AP19,2)</f>
        <v>0</v>
      </c>
      <c r="AY19" s="54" t="s">
        <v>177</v>
      </c>
      <c r="AZ19" s="54" t="s">
        <v>178</v>
      </c>
      <c r="BA19" s="75" t="s">
        <v>160</v>
      </c>
      <c r="BC19" s="55">
        <f>AW19+AX19</f>
        <v>0</v>
      </c>
      <c r="BD19" s="55">
        <f>H19/(100-BE19)*100</f>
        <v>0</v>
      </c>
      <c r="BE19" s="55">
        <v>0</v>
      </c>
      <c r="BF19" s="55">
        <f>O19</f>
        <v>0.2984</v>
      </c>
      <c r="BH19" s="55">
        <f>G19*AO19</f>
        <v>0</v>
      </c>
      <c r="BI19" s="55">
        <f>G19*AP19</f>
        <v>0</v>
      </c>
      <c r="BJ19" s="55">
        <f>G19*H19</f>
        <v>0</v>
      </c>
      <c r="BK19" s="54" t="s">
        <v>161</v>
      </c>
      <c r="BL19" s="55">
        <v>721</v>
      </c>
      <c r="BW19" s="55">
        <f>I19</f>
        <v>21</v>
      </c>
      <c r="BX19" s="16" t="s">
        <v>175</v>
      </c>
    </row>
    <row r="20" spans="1:76" ht="15" customHeight="1" x14ac:dyDescent="0.3">
      <c r="A20" s="94" t="s">
        <v>179</v>
      </c>
      <c r="B20" s="94" t="s">
        <v>103</v>
      </c>
      <c r="C20" s="94" t="s">
        <v>180</v>
      </c>
      <c r="D20" s="199" t="s">
        <v>181</v>
      </c>
      <c r="E20" s="199"/>
      <c r="F20" s="94" t="s">
        <v>176</v>
      </c>
      <c r="G20" s="96">
        <f>'Stavební rozpočet'!G20</f>
        <v>25</v>
      </c>
      <c r="H20" s="97">
        <f>'Stavební rozpočet'!H20</f>
        <v>0</v>
      </c>
      <c r="I20" s="98">
        <v>21</v>
      </c>
      <c r="J20" s="97">
        <f>ROUND(G20*AO20,2)</f>
        <v>0</v>
      </c>
      <c r="K20" s="97">
        <f>ROUND(G20*AP20,2)</f>
        <v>0</v>
      </c>
      <c r="L20" s="97">
        <f>ROUND(G20*H20,2)</f>
        <v>0</v>
      </c>
      <c r="M20" s="97">
        <f>L20*(1+BW20/100)</f>
        <v>0</v>
      </c>
      <c r="N20" s="97">
        <f>'Stavební rozpočet'!N20</f>
        <v>1.98E-3</v>
      </c>
      <c r="O20" s="97">
        <f>G20*N20</f>
        <v>4.9500000000000002E-2</v>
      </c>
      <c r="P20" s="99" t="s">
        <v>156</v>
      </c>
      <c r="Z20" s="55">
        <f>ROUND(IF(AQ20="5",BJ20,0),2)</f>
        <v>0</v>
      </c>
      <c r="AB20" s="55">
        <f>ROUND(IF(AQ20="1",BH20,0),2)</f>
        <v>0</v>
      </c>
      <c r="AC20" s="55">
        <f>ROUND(IF(AQ20="1",BI20,0),2)</f>
        <v>0</v>
      </c>
      <c r="AD20" s="55">
        <f>ROUND(IF(AQ20="7",BH20,0),2)</f>
        <v>0</v>
      </c>
      <c r="AE20" s="55">
        <f>ROUND(IF(AQ20="7",BI20,0),2)</f>
        <v>0</v>
      </c>
      <c r="AF20" s="55">
        <f>ROUND(IF(AQ20="2",BH20,0),2)</f>
        <v>0</v>
      </c>
      <c r="AG20" s="55">
        <f>ROUND(IF(AQ20="2",BI20,0),2)</f>
        <v>0</v>
      </c>
      <c r="AH20" s="55">
        <f>ROUND(IF(AQ20="0",BJ20,0),2)</f>
        <v>0</v>
      </c>
      <c r="AI20" s="75" t="s">
        <v>103</v>
      </c>
      <c r="AJ20" s="55">
        <f>IF(AN20=0,L20,0)</f>
        <v>0</v>
      </c>
      <c r="AK20" s="55">
        <f>IF(AN20=12,L20,0)</f>
        <v>0</v>
      </c>
      <c r="AL20" s="55">
        <f>IF(AN20=21,L20,0)</f>
        <v>0</v>
      </c>
      <c r="AN20" s="55">
        <v>21</v>
      </c>
      <c r="AO20" s="55">
        <f>H20*0</f>
        <v>0</v>
      </c>
      <c r="AP20" s="55">
        <f>H20*(1-0)</f>
        <v>0</v>
      </c>
      <c r="AQ20" s="54" t="s">
        <v>157</v>
      </c>
      <c r="AV20" s="55">
        <f>ROUND(AW20+AX20,2)</f>
        <v>0</v>
      </c>
      <c r="AW20" s="55">
        <f>ROUND(G20*AO20,2)</f>
        <v>0</v>
      </c>
      <c r="AX20" s="55">
        <f>ROUND(G20*AP20,2)</f>
        <v>0</v>
      </c>
      <c r="AY20" s="54" t="s">
        <v>177</v>
      </c>
      <c r="AZ20" s="54" t="s">
        <v>178</v>
      </c>
      <c r="BA20" s="75" t="s">
        <v>160</v>
      </c>
      <c r="BC20" s="55">
        <f>AW20+AX20</f>
        <v>0</v>
      </c>
      <c r="BD20" s="55">
        <f>H20/(100-BE20)*100</f>
        <v>0</v>
      </c>
      <c r="BE20" s="55">
        <v>0</v>
      </c>
      <c r="BF20" s="55">
        <f>O20</f>
        <v>4.9500000000000002E-2</v>
      </c>
      <c r="BH20" s="55">
        <f>G20*AO20</f>
        <v>0</v>
      </c>
      <c r="BI20" s="55">
        <f>G20*AP20</f>
        <v>0</v>
      </c>
      <c r="BJ20" s="55">
        <f>G20*H20</f>
        <v>0</v>
      </c>
      <c r="BK20" s="54" t="s">
        <v>161</v>
      </c>
      <c r="BL20" s="55">
        <v>721</v>
      </c>
      <c r="BW20" s="55">
        <f>I20</f>
        <v>21</v>
      </c>
      <c r="BX20" s="16" t="s">
        <v>181</v>
      </c>
    </row>
    <row r="21" spans="1:76" ht="15" customHeight="1" x14ac:dyDescent="0.3">
      <c r="A21" s="94" t="s">
        <v>182</v>
      </c>
      <c r="B21" s="94" t="s">
        <v>103</v>
      </c>
      <c r="C21" s="94" t="s">
        <v>183</v>
      </c>
      <c r="D21" s="199" t="s">
        <v>184</v>
      </c>
      <c r="E21" s="199"/>
      <c r="F21" s="94" t="s">
        <v>176</v>
      </c>
      <c r="G21" s="96">
        <f>'Stavební rozpočet'!G21</f>
        <v>25</v>
      </c>
      <c r="H21" s="97">
        <f>'Stavební rozpočet'!H21</f>
        <v>0</v>
      </c>
      <c r="I21" s="98">
        <v>21</v>
      </c>
      <c r="J21" s="97">
        <f>ROUND(G21*AO21,2)</f>
        <v>0</v>
      </c>
      <c r="K21" s="97">
        <f>ROUND(G21*AP21,2)</f>
        <v>0</v>
      </c>
      <c r="L21" s="97">
        <f>ROUND(G21*H21,2)</f>
        <v>0</v>
      </c>
      <c r="M21" s="97">
        <f>L21*(1+BW21/100)</f>
        <v>0</v>
      </c>
      <c r="N21" s="97">
        <f>'Stavební rozpočet'!N21</f>
        <v>2.0999999999999999E-3</v>
      </c>
      <c r="O21" s="97">
        <f>G21*N21</f>
        <v>5.2499999999999998E-2</v>
      </c>
      <c r="P21" s="99" t="s">
        <v>156</v>
      </c>
      <c r="Z21" s="55">
        <f>ROUND(IF(AQ21="5",BJ21,0),2)</f>
        <v>0</v>
      </c>
      <c r="AB21" s="55">
        <f>ROUND(IF(AQ21="1",BH21,0),2)</f>
        <v>0</v>
      </c>
      <c r="AC21" s="55">
        <f>ROUND(IF(AQ21="1",BI21,0),2)</f>
        <v>0</v>
      </c>
      <c r="AD21" s="55">
        <f>ROUND(IF(AQ21="7",BH21,0),2)</f>
        <v>0</v>
      </c>
      <c r="AE21" s="55">
        <f>ROUND(IF(AQ21="7",BI21,0),2)</f>
        <v>0</v>
      </c>
      <c r="AF21" s="55">
        <f>ROUND(IF(AQ21="2",BH21,0),2)</f>
        <v>0</v>
      </c>
      <c r="AG21" s="55">
        <f>ROUND(IF(AQ21="2",BI21,0),2)</f>
        <v>0</v>
      </c>
      <c r="AH21" s="55">
        <f>ROUND(IF(AQ21="0",BJ21,0),2)</f>
        <v>0</v>
      </c>
      <c r="AI21" s="75" t="s">
        <v>103</v>
      </c>
      <c r="AJ21" s="55">
        <f>IF(AN21=0,L21,0)</f>
        <v>0</v>
      </c>
      <c r="AK21" s="55">
        <f>IF(AN21=12,L21,0)</f>
        <v>0</v>
      </c>
      <c r="AL21" s="55">
        <f>IF(AN21=21,L21,0)</f>
        <v>0</v>
      </c>
      <c r="AN21" s="55">
        <v>21</v>
      </c>
      <c r="AO21" s="55">
        <f>H21*0</f>
        <v>0</v>
      </c>
      <c r="AP21" s="55">
        <f>H21*(1-0)</f>
        <v>0</v>
      </c>
      <c r="AQ21" s="54" t="s">
        <v>157</v>
      </c>
      <c r="AV21" s="55">
        <f>ROUND(AW21+AX21,2)</f>
        <v>0</v>
      </c>
      <c r="AW21" s="55">
        <f>ROUND(G21*AO21,2)</f>
        <v>0</v>
      </c>
      <c r="AX21" s="55">
        <f>ROUND(G21*AP21,2)</f>
        <v>0</v>
      </c>
      <c r="AY21" s="54" t="s">
        <v>177</v>
      </c>
      <c r="AZ21" s="54" t="s">
        <v>178</v>
      </c>
      <c r="BA21" s="75" t="s">
        <v>160</v>
      </c>
      <c r="BC21" s="55">
        <f>AW21+AX21</f>
        <v>0</v>
      </c>
      <c r="BD21" s="55">
        <f>H21/(100-BE21)*100</f>
        <v>0</v>
      </c>
      <c r="BE21" s="55">
        <v>0</v>
      </c>
      <c r="BF21" s="55">
        <f>O21</f>
        <v>5.2499999999999998E-2</v>
      </c>
      <c r="BH21" s="55">
        <f>G21*AO21</f>
        <v>0</v>
      </c>
      <c r="BI21" s="55">
        <f>G21*AP21</f>
        <v>0</v>
      </c>
      <c r="BJ21" s="55">
        <f>G21*H21</f>
        <v>0</v>
      </c>
      <c r="BK21" s="54" t="s">
        <v>161</v>
      </c>
      <c r="BL21" s="55">
        <v>721</v>
      </c>
      <c r="BW21" s="55">
        <f>I21</f>
        <v>21</v>
      </c>
      <c r="BX21" s="16" t="s">
        <v>184</v>
      </c>
    </row>
    <row r="22" spans="1:76" ht="15" customHeight="1" x14ac:dyDescent="0.3">
      <c r="A22" s="88"/>
      <c r="B22" s="89" t="s">
        <v>103</v>
      </c>
      <c r="C22" s="89" t="s">
        <v>185</v>
      </c>
      <c r="D22" s="198" t="s">
        <v>186</v>
      </c>
      <c r="E22" s="198"/>
      <c r="F22" s="88" t="s">
        <v>96</v>
      </c>
      <c r="G22" s="90" t="s">
        <v>96</v>
      </c>
      <c r="H22" s="88" t="s">
        <v>96</v>
      </c>
      <c r="I22" s="88" t="s">
        <v>96</v>
      </c>
      <c r="J22" s="91">
        <f>SUM(J23:J24)</f>
        <v>0</v>
      </c>
      <c r="K22" s="91">
        <f>SUM(K23:K24)</f>
        <v>0</v>
      </c>
      <c r="L22" s="91">
        <f>SUM(L23:L24)</f>
        <v>0</v>
      </c>
      <c r="M22" s="91">
        <f>SUM(M23:M24)</f>
        <v>0</v>
      </c>
      <c r="N22" s="92"/>
      <c r="O22" s="91">
        <f>SUM(O23:O24)</f>
        <v>0.23784999999999998</v>
      </c>
      <c r="P22" s="92"/>
      <c r="AI22" s="75" t="s">
        <v>103</v>
      </c>
      <c r="AS22" s="68">
        <f>SUM(AJ23:AJ24)</f>
        <v>0</v>
      </c>
      <c r="AT22" s="68">
        <f>SUM(AK23:AK24)</f>
        <v>0</v>
      </c>
      <c r="AU22" s="68">
        <f>SUM(AL23:AL24)</f>
        <v>0</v>
      </c>
    </row>
    <row r="23" spans="1:76" ht="15" customHeight="1" x14ac:dyDescent="0.3">
      <c r="A23" s="94" t="s">
        <v>157</v>
      </c>
      <c r="B23" s="94" t="s">
        <v>103</v>
      </c>
      <c r="C23" s="94" t="s">
        <v>187</v>
      </c>
      <c r="D23" s="199" t="s">
        <v>188</v>
      </c>
      <c r="E23" s="199"/>
      <c r="F23" s="94" t="s">
        <v>176</v>
      </c>
      <c r="G23" s="96">
        <f>'Stavební rozpočet'!G23</f>
        <v>20</v>
      </c>
      <c r="H23" s="97">
        <f>'Stavební rozpočet'!H23</f>
        <v>0</v>
      </c>
      <c r="I23" s="98">
        <v>21</v>
      </c>
      <c r="J23" s="97">
        <f>ROUND(G23*AO23,2)</f>
        <v>0</v>
      </c>
      <c r="K23" s="97">
        <f>ROUND(G23*AP23,2)</f>
        <v>0</v>
      </c>
      <c r="L23" s="97">
        <f>ROUND(G23*H23,2)</f>
        <v>0</v>
      </c>
      <c r="M23" s="97">
        <f>L23*(1+BW23/100)</f>
        <v>0</v>
      </c>
      <c r="N23" s="97">
        <f>'Stavební rozpočet'!N23</f>
        <v>4.9699999999999996E-3</v>
      </c>
      <c r="O23" s="97">
        <f>G23*N23</f>
        <v>9.9399999999999988E-2</v>
      </c>
      <c r="P23" s="99" t="s">
        <v>156</v>
      </c>
      <c r="Z23" s="55">
        <f>ROUND(IF(AQ23="5",BJ23,0),2)</f>
        <v>0</v>
      </c>
      <c r="AB23" s="55">
        <f>ROUND(IF(AQ23="1",BH23,0),2)</f>
        <v>0</v>
      </c>
      <c r="AC23" s="55">
        <f>ROUND(IF(AQ23="1",BI23,0),2)</f>
        <v>0</v>
      </c>
      <c r="AD23" s="55">
        <f>ROUND(IF(AQ23="7",BH23,0),2)</f>
        <v>0</v>
      </c>
      <c r="AE23" s="55">
        <f>ROUND(IF(AQ23="7",BI23,0),2)</f>
        <v>0</v>
      </c>
      <c r="AF23" s="55">
        <f>ROUND(IF(AQ23="2",BH23,0),2)</f>
        <v>0</v>
      </c>
      <c r="AG23" s="55">
        <f>ROUND(IF(AQ23="2",BI23,0),2)</f>
        <v>0</v>
      </c>
      <c r="AH23" s="55">
        <f>ROUND(IF(AQ23="0",BJ23,0),2)</f>
        <v>0</v>
      </c>
      <c r="AI23" s="75" t="s">
        <v>103</v>
      </c>
      <c r="AJ23" s="55">
        <f>IF(AN23=0,L23,0)</f>
        <v>0</v>
      </c>
      <c r="AK23" s="55">
        <f>IF(AN23=12,L23,0)</f>
        <v>0</v>
      </c>
      <c r="AL23" s="55">
        <f>IF(AN23=21,L23,0)</f>
        <v>0</v>
      </c>
      <c r="AN23" s="55">
        <v>21</v>
      </c>
      <c r="AO23" s="55">
        <f>H23*0</f>
        <v>0</v>
      </c>
      <c r="AP23" s="55">
        <f>H23*(1-0)</f>
        <v>0</v>
      </c>
      <c r="AQ23" s="54" t="s">
        <v>157</v>
      </c>
      <c r="AV23" s="55">
        <f>ROUND(AW23+AX23,2)</f>
        <v>0</v>
      </c>
      <c r="AW23" s="55">
        <f>ROUND(G23*AO23,2)</f>
        <v>0</v>
      </c>
      <c r="AX23" s="55">
        <f>ROUND(G23*AP23,2)</f>
        <v>0</v>
      </c>
      <c r="AY23" s="54" t="s">
        <v>189</v>
      </c>
      <c r="AZ23" s="54" t="s">
        <v>178</v>
      </c>
      <c r="BA23" s="75" t="s">
        <v>160</v>
      </c>
      <c r="BC23" s="55">
        <f>AW23+AX23</f>
        <v>0</v>
      </c>
      <c r="BD23" s="55">
        <f>H23/(100-BE23)*100</f>
        <v>0</v>
      </c>
      <c r="BE23" s="55">
        <v>0</v>
      </c>
      <c r="BF23" s="55">
        <f>O23</f>
        <v>9.9399999999999988E-2</v>
      </c>
      <c r="BH23" s="55">
        <f>G23*AO23</f>
        <v>0</v>
      </c>
      <c r="BI23" s="55">
        <f>G23*AP23</f>
        <v>0</v>
      </c>
      <c r="BJ23" s="55">
        <f>G23*H23</f>
        <v>0</v>
      </c>
      <c r="BK23" s="54" t="s">
        <v>161</v>
      </c>
      <c r="BL23" s="55">
        <v>722</v>
      </c>
      <c r="BW23" s="55">
        <f>I23</f>
        <v>21</v>
      </c>
      <c r="BX23" s="16" t="s">
        <v>188</v>
      </c>
    </row>
    <row r="24" spans="1:76" ht="15" customHeight="1" x14ac:dyDescent="0.3">
      <c r="A24" s="94" t="s">
        <v>190</v>
      </c>
      <c r="B24" s="94" t="s">
        <v>103</v>
      </c>
      <c r="C24" s="94" t="s">
        <v>191</v>
      </c>
      <c r="D24" s="199" t="s">
        <v>192</v>
      </c>
      <c r="E24" s="199"/>
      <c r="F24" s="94" t="s">
        <v>176</v>
      </c>
      <c r="G24" s="96">
        <f>'Stavební rozpočet'!G24</f>
        <v>65</v>
      </c>
      <c r="H24" s="97">
        <f>'Stavební rozpočet'!H24</f>
        <v>0</v>
      </c>
      <c r="I24" s="98">
        <v>21</v>
      </c>
      <c r="J24" s="97">
        <f>ROUND(G24*AO24,2)</f>
        <v>0</v>
      </c>
      <c r="K24" s="97">
        <f>ROUND(G24*AP24,2)</f>
        <v>0</v>
      </c>
      <c r="L24" s="97">
        <f>ROUND(G24*H24,2)</f>
        <v>0</v>
      </c>
      <c r="M24" s="97">
        <f>L24*(1+BW24/100)</f>
        <v>0</v>
      </c>
      <c r="N24" s="97">
        <f>'Stavební rozpočet'!N24</f>
        <v>2.1299999999999999E-3</v>
      </c>
      <c r="O24" s="97">
        <f>G24*N24</f>
        <v>0.13844999999999999</v>
      </c>
      <c r="P24" s="99" t="s">
        <v>156</v>
      </c>
      <c r="Z24" s="55">
        <f>ROUND(IF(AQ24="5",BJ24,0),2)</f>
        <v>0</v>
      </c>
      <c r="AB24" s="55">
        <f>ROUND(IF(AQ24="1",BH24,0),2)</f>
        <v>0</v>
      </c>
      <c r="AC24" s="55">
        <f>ROUND(IF(AQ24="1",BI24,0),2)</f>
        <v>0</v>
      </c>
      <c r="AD24" s="55">
        <f>ROUND(IF(AQ24="7",BH24,0),2)</f>
        <v>0</v>
      </c>
      <c r="AE24" s="55">
        <f>ROUND(IF(AQ24="7",BI24,0),2)</f>
        <v>0</v>
      </c>
      <c r="AF24" s="55">
        <f>ROUND(IF(AQ24="2",BH24,0),2)</f>
        <v>0</v>
      </c>
      <c r="AG24" s="55">
        <f>ROUND(IF(AQ24="2",BI24,0),2)</f>
        <v>0</v>
      </c>
      <c r="AH24" s="55">
        <f>ROUND(IF(AQ24="0",BJ24,0),2)</f>
        <v>0</v>
      </c>
      <c r="AI24" s="75" t="s">
        <v>103</v>
      </c>
      <c r="AJ24" s="55">
        <f>IF(AN24=0,L24,0)</f>
        <v>0</v>
      </c>
      <c r="AK24" s="55">
        <f>IF(AN24=12,L24,0)</f>
        <v>0</v>
      </c>
      <c r="AL24" s="55">
        <f>IF(AN24=21,L24,0)</f>
        <v>0</v>
      </c>
      <c r="AN24" s="55">
        <v>21</v>
      </c>
      <c r="AO24" s="55">
        <f>H24*0</f>
        <v>0</v>
      </c>
      <c r="AP24" s="55">
        <f>H24*(1-0)</f>
        <v>0</v>
      </c>
      <c r="AQ24" s="54" t="s">
        <v>157</v>
      </c>
      <c r="AV24" s="55">
        <f>ROUND(AW24+AX24,2)</f>
        <v>0</v>
      </c>
      <c r="AW24" s="55">
        <f>ROUND(G24*AO24,2)</f>
        <v>0</v>
      </c>
      <c r="AX24" s="55">
        <f>ROUND(G24*AP24,2)</f>
        <v>0</v>
      </c>
      <c r="AY24" s="54" t="s">
        <v>189</v>
      </c>
      <c r="AZ24" s="54" t="s">
        <v>178</v>
      </c>
      <c r="BA24" s="75" t="s">
        <v>160</v>
      </c>
      <c r="BC24" s="55">
        <f>AW24+AX24</f>
        <v>0</v>
      </c>
      <c r="BD24" s="55">
        <f>H24/(100-BE24)*100</f>
        <v>0</v>
      </c>
      <c r="BE24" s="55">
        <v>0</v>
      </c>
      <c r="BF24" s="55">
        <f>O24</f>
        <v>0.13844999999999999</v>
      </c>
      <c r="BH24" s="55">
        <f>G24*AO24</f>
        <v>0</v>
      </c>
      <c r="BI24" s="55">
        <f>G24*AP24</f>
        <v>0</v>
      </c>
      <c r="BJ24" s="55">
        <f>G24*H24</f>
        <v>0</v>
      </c>
      <c r="BK24" s="54" t="s">
        <v>161</v>
      </c>
      <c r="BL24" s="55">
        <v>722</v>
      </c>
      <c r="BW24" s="55">
        <f>I24</f>
        <v>21</v>
      </c>
      <c r="BX24" s="16" t="s">
        <v>192</v>
      </c>
    </row>
    <row r="25" spans="1:76" ht="15" customHeight="1" x14ac:dyDescent="0.3">
      <c r="A25" s="88"/>
      <c r="B25" s="89" t="s">
        <v>103</v>
      </c>
      <c r="C25" s="89" t="s">
        <v>193</v>
      </c>
      <c r="D25" s="198" t="s">
        <v>194</v>
      </c>
      <c r="E25" s="198"/>
      <c r="F25" s="88" t="s">
        <v>96</v>
      </c>
      <c r="G25" s="90" t="s">
        <v>96</v>
      </c>
      <c r="H25" s="88" t="s">
        <v>96</v>
      </c>
      <c r="I25" s="88" t="s">
        <v>96</v>
      </c>
      <c r="J25" s="91">
        <f>SUM(J26:J31)</f>
        <v>0</v>
      </c>
      <c r="K25" s="91">
        <f>SUM(K26:K31)</f>
        <v>0</v>
      </c>
      <c r="L25" s="91">
        <f>SUM(L26:L31)</f>
        <v>0</v>
      </c>
      <c r="M25" s="91">
        <f>SUM(M26:M31)</f>
        <v>0</v>
      </c>
      <c r="N25" s="92"/>
      <c r="O25" s="91">
        <f>SUM(O26:O31)</f>
        <v>0.97698999999999991</v>
      </c>
      <c r="P25" s="92"/>
      <c r="AI25" s="75" t="s">
        <v>103</v>
      </c>
      <c r="AS25" s="68">
        <f>SUM(AJ26:AJ31)</f>
        <v>0</v>
      </c>
      <c r="AT25" s="68">
        <f>SUM(AK26:AK31)</f>
        <v>0</v>
      </c>
      <c r="AU25" s="68">
        <f>SUM(AL26:AL31)</f>
        <v>0</v>
      </c>
    </row>
    <row r="26" spans="1:76" ht="15" customHeight="1" x14ac:dyDescent="0.3">
      <c r="A26" s="94" t="s">
        <v>195</v>
      </c>
      <c r="B26" s="94" t="s">
        <v>103</v>
      </c>
      <c r="C26" s="94" t="s">
        <v>196</v>
      </c>
      <c r="D26" s="199" t="s">
        <v>197</v>
      </c>
      <c r="E26" s="199"/>
      <c r="F26" s="94" t="s">
        <v>198</v>
      </c>
      <c r="G26" s="96">
        <f>'Stavební rozpočet'!G26</f>
        <v>4</v>
      </c>
      <c r="H26" s="97">
        <f>'Stavební rozpočet'!H26</f>
        <v>0</v>
      </c>
      <c r="I26" s="98">
        <v>21</v>
      </c>
      <c r="J26" s="97">
        <f t="shared" ref="J26:J31" si="0">ROUND(G26*AO26,2)</f>
        <v>0</v>
      </c>
      <c r="K26" s="97">
        <f t="shared" ref="K26:K31" si="1">ROUND(G26*AP26,2)</f>
        <v>0</v>
      </c>
      <c r="L26" s="97">
        <f t="shared" ref="L26:L31" si="2">ROUND(G26*H26,2)</f>
        <v>0</v>
      </c>
      <c r="M26" s="97">
        <f t="shared" ref="M26:M31" si="3">L26*(1+BW26/100)</f>
        <v>0</v>
      </c>
      <c r="N26" s="97">
        <f>'Stavební rozpočet'!N26</f>
        <v>0.125</v>
      </c>
      <c r="O26" s="97">
        <f t="shared" ref="O26:O31" si="4">G26*N26</f>
        <v>0.5</v>
      </c>
      <c r="P26" s="99" t="s">
        <v>156</v>
      </c>
      <c r="Z26" s="55">
        <f t="shared" ref="Z26:Z31" si="5">ROUND(IF(AQ26="5",BJ26,0),2)</f>
        <v>0</v>
      </c>
      <c r="AB26" s="55">
        <f t="shared" ref="AB26:AB31" si="6">ROUND(IF(AQ26="1",BH26,0),2)</f>
        <v>0</v>
      </c>
      <c r="AC26" s="55">
        <f t="shared" ref="AC26:AC31" si="7">ROUND(IF(AQ26="1",BI26,0),2)</f>
        <v>0</v>
      </c>
      <c r="AD26" s="55">
        <f t="shared" ref="AD26:AD31" si="8">ROUND(IF(AQ26="7",BH26,0),2)</f>
        <v>0</v>
      </c>
      <c r="AE26" s="55">
        <f t="shared" ref="AE26:AE31" si="9">ROUND(IF(AQ26="7",BI26,0),2)</f>
        <v>0</v>
      </c>
      <c r="AF26" s="55">
        <f t="shared" ref="AF26:AF31" si="10">ROUND(IF(AQ26="2",BH26,0),2)</f>
        <v>0</v>
      </c>
      <c r="AG26" s="55">
        <f t="shared" ref="AG26:AG31" si="11">ROUND(IF(AQ26="2",BI26,0),2)</f>
        <v>0</v>
      </c>
      <c r="AH26" s="55">
        <f t="shared" ref="AH26:AH31" si="12">ROUND(IF(AQ26="0",BJ26,0),2)</f>
        <v>0</v>
      </c>
      <c r="AI26" s="75" t="s">
        <v>103</v>
      </c>
      <c r="AJ26" s="55">
        <f t="shared" ref="AJ26:AJ31" si="13">IF(AN26=0,L26,0)</f>
        <v>0</v>
      </c>
      <c r="AK26" s="55">
        <f t="shared" ref="AK26:AK31" si="14">IF(AN26=12,L26,0)</f>
        <v>0</v>
      </c>
      <c r="AL26" s="55">
        <f t="shared" ref="AL26:AL31" si="15">IF(AN26=21,L26,0)</f>
        <v>0</v>
      </c>
      <c r="AN26" s="55">
        <v>21</v>
      </c>
      <c r="AO26" s="55">
        <f t="shared" ref="AO26:AO31" si="16">H26*0</f>
        <v>0</v>
      </c>
      <c r="AP26" s="55">
        <f t="shared" ref="AP26:AP31" si="17">H26*(1-0)</f>
        <v>0</v>
      </c>
      <c r="AQ26" s="54" t="s">
        <v>157</v>
      </c>
      <c r="AV26" s="55">
        <f t="shared" ref="AV26:AV31" si="18">ROUND(AW26+AX26,2)</f>
        <v>0</v>
      </c>
      <c r="AW26" s="55">
        <f t="shared" ref="AW26:AW31" si="19">ROUND(G26*AO26,2)</f>
        <v>0</v>
      </c>
      <c r="AX26" s="55">
        <f t="shared" ref="AX26:AX31" si="20">ROUND(G26*AP26,2)</f>
        <v>0</v>
      </c>
      <c r="AY26" s="54" t="s">
        <v>199</v>
      </c>
      <c r="AZ26" s="54" t="s">
        <v>178</v>
      </c>
      <c r="BA26" s="75" t="s">
        <v>160</v>
      </c>
      <c r="BC26" s="55">
        <f t="shared" ref="BC26:BC31" si="21">AW26+AX26</f>
        <v>0</v>
      </c>
      <c r="BD26" s="55">
        <f t="shared" ref="BD26:BD31" si="22">H26/(100-BE26)*100</f>
        <v>0</v>
      </c>
      <c r="BE26" s="55">
        <v>0</v>
      </c>
      <c r="BF26" s="55">
        <f t="shared" ref="BF26:BF31" si="23">O26</f>
        <v>0.5</v>
      </c>
      <c r="BH26" s="55">
        <f t="shared" ref="BH26:BH31" si="24">G26*AO26</f>
        <v>0</v>
      </c>
      <c r="BI26" s="55">
        <f t="shared" ref="BI26:BI31" si="25">G26*AP26</f>
        <v>0</v>
      </c>
      <c r="BJ26" s="55">
        <f t="shared" ref="BJ26:BJ31" si="26">G26*H26</f>
        <v>0</v>
      </c>
      <c r="BK26" s="54" t="s">
        <v>161</v>
      </c>
      <c r="BL26" s="55">
        <v>725</v>
      </c>
      <c r="BW26" s="55">
        <f t="shared" ref="BW26:BW31" si="27">I26</f>
        <v>21</v>
      </c>
      <c r="BX26" s="16" t="s">
        <v>197</v>
      </c>
    </row>
    <row r="27" spans="1:76" ht="15" customHeight="1" x14ac:dyDescent="0.3">
      <c r="A27" s="94" t="s">
        <v>200</v>
      </c>
      <c r="B27" s="94" t="s">
        <v>103</v>
      </c>
      <c r="C27" s="94" t="s">
        <v>201</v>
      </c>
      <c r="D27" s="199" t="s">
        <v>202</v>
      </c>
      <c r="E27" s="199"/>
      <c r="F27" s="94" t="s">
        <v>198</v>
      </c>
      <c r="G27" s="96">
        <f>'Stavební rozpočet'!G27</f>
        <v>5</v>
      </c>
      <c r="H27" s="97">
        <f>'Stavební rozpočet'!H27</f>
        <v>0</v>
      </c>
      <c r="I27" s="98">
        <v>21</v>
      </c>
      <c r="J27" s="97">
        <f t="shared" si="0"/>
        <v>0</v>
      </c>
      <c r="K27" s="97">
        <f t="shared" si="1"/>
        <v>0</v>
      </c>
      <c r="L27" s="97">
        <f t="shared" si="2"/>
        <v>0</v>
      </c>
      <c r="M27" s="97">
        <f t="shared" si="3"/>
        <v>0</v>
      </c>
      <c r="N27" s="97">
        <f>'Stavební rozpočet'!N27</f>
        <v>3.4200000000000001E-2</v>
      </c>
      <c r="O27" s="97">
        <f t="shared" si="4"/>
        <v>0.17100000000000001</v>
      </c>
      <c r="P27" s="99" t="s">
        <v>156</v>
      </c>
      <c r="Z27" s="55">
        <f t="shared" si="5"/>
        <v>0</v>
      </c>
      <c r="AB27" s="55">
        <f t="shared" si="6"/>
        <v>0</v>
      </c>
      <c r="AC27" s="55">
        <f t="shared" si="7"/>
        <v>0</v>
      </c>
      <c r="AD27" s="55">
        <f t="shared" si="8"/>
        <v>0</v>
      </c>
      <c r="AE27" s="55">
        <f t="shared" si="9"/>
        <v>0</v>
      </c>
      <c r="AF27" s="55">
        <f t="shared" si="10"/>
        <v>0</v>
      </c>
      <c r="AG27" s="55">
        <f t="shared" si="11"/>
        <v>0</v>
      </c>
      <c r="AH27" s="55">
        <f t="shared" si="12"/>
        <v>0</v>
      </c>
      <c r="AI27" s="75" t="s">
        <v>103</v>
      </c>
      <c r="AJ27" s="55">
        <f t="shared" si="13"/>
        <v>0</v>
      </c>
      <c r="AK27" s="55">
        <f t="shared" si="14"/>
        <v>0</v>
      </c>
      <c r="AL27" s="55">
        <f t="shared" si="15"/>
        <v>0</v>
      </c>
      <c r="AN27" s="55">
        <v>21</v>
      </c>
      <c r="AO27" s="55">
        <f t="shared" si="16"/>
        <v>0</v>
      </c>
      <c r="AP27" s="55">
        <f t="shared" si="17"/>
        <v>0</v>
      </c>
      <c r="AQ27" s="54" t="s">
        <v>157</v>
      </c>
      <c r="AV27" s="55">
        <f t="shared" si="18"/>
        <v>0</v>
      </c>
      <c r="AW27" s="55">
        <f t="shared" si="19"/>
        <v>0</v>
      </c>
      <c r="AX27" s="55">
        <f t="shared" si="20"/>
        <v>0</v>
      </c>
      <c r="AY27" s="54" t="s">
        <v>199</v>
      </c>
      <c r="AZ27" s="54" t="s">
        <v>178</v>
      </c>
      <c r="BA27" s="75" t="s">
        <v>160</v>
      </c>
      <c r="BC27" s="55">
        <f t="shared" si="21"/>
        <v>0</v>
      </c>
      <c r="BD27" s="55">
        <f t="shared" si="22"/>
        <v>0</v>
      </c>
      <c r="BE27" s="55">
        <v>0</v>
      </c>
      <c r="BF27" s="55">
        <f t="shared" si="23"/>
        <v>0.17100000000000001</v>
      </c>
      <c r="BH27" s="55">
        <f t="shared" si="24"/>
        <v>0</v>
      </c>
      <c r="BI27" s="55">
        <f t="shared" si="25"/>
        <v>0</v>
      </c>
      <c r="BJ27" s="55">
        <f t="shared" si="26"/>
        <v>0</v>
      </c>
      <c r="BK27" s="54" t="s">
        <v>161</v>
      </c>
      <c r="BL27" s="55">
        <v>725</v>
      </c>
      <c r="BW27" s="55">
        <f t="shared" si="27"/>
        <v>21</v>
      </c>
      <c r="BX27" s="16" t="s">
        <v>202</v>
      </c>
    </row>
    <row r="28" spans="1:76" ht="15" customHeight="1" x14ac:dyDescent="0.3">
      <c r="A28" s="94" t="s">
        <v>203</v>
      </c>
      <c r="B28" s="94" t="s">
        <v>103</v>
      </c>
      <c r="C28" s="94" t="s">
        <v>204</v>
      </c>
      <c r="D28" s="199" t="s">
        <v>205</v>
      </c>
      <c r="E28" s="199"/>
      <c r="F28" s="94" t="s">
        <v>198</v>
      </c>
      <c r="G28" s="96">
        <f>'Stavební rozpočet'!G28</f>
        <v>1</v>
      </c>
      <c r="H28" s="97">
        <f>'Stavební rozpočet'!H28</f>
        <v>0</v>
      </c>
      <c r="I28" s="98">
        <v>21</v>
      </c>
      <c r="J28" s="97">
        <f t="shared" si="0"/>
        <v>0</v>
      </c>
      <c r="K28" s="97">
        <f t="shared" si="1"/>
        <v>0</v>
      </c>
      <c r="L28" s="97">
        <f t="shared" si="2"/>
        <v>0</v>
      </c>
      <c r="M28" s="97">
        <f t="shared" si="3"/>
        <v>0</v>
      </c>
      <c r="N28" s="97">
        <f>'Stavební rozpočet'!N28</f>
        <v>2.4500000000000001E-2</v>
      </c>
      <c r="O28" s="97">
        <f t="shared" si="4"/>
        <v>2.4500000000000001E-2</v>
      </c>
      <c r="P28" s="99" t="s">
        <v>156</v>
      </c>
      <c r="Z28" s="55">
        <f t="shared" si="5"/>
        <v>0</v>
      </c>
      <c r="AB28" s="55">
        <f t="shared" si="6"/>
        <v>0</v>
      </c>
      <c r="AC28" s="55">
        <f t="shared" si="7"/>
        <v>0</v>
      </c>
      <c r="AD28" s="55">
        <f t="shared" si="8"/>
        <v>0</v>
      </c>
      <c r="AE28" s="55">
        <f t="shared" si="9"/>
        <v>0</v>
      </c>
      <c r="AF28" s="55">
        <f t="shared" si="10"/>
        <v>0</v>
      </c>
      <c r="AG28" s="55">
        <f t="shared" si="11"/>
        <v>0</v>
      </c>
      <c r="AH28" s="55">
        <f t="shared" si="12"/>
        <v>0</v>
      </c>
      <c r="AI28" s="75" t="s">
        <v>103</v>
      </c>
      <c r="AJ28" s="55">
        <f t="shared" si="13"/>
        <v>0</v>
      </c>
      <c r="AK28" s="55">
        <f t="shared" si="14"/>
        <v>0</v>
      </c>
      <c r="AL28" s="55">
        <f t="shared" si="15"/>
        <v>0</v>
      </c>
      <c r="AN28" s="55">
        <v>21</v>
      </c>
      <c r="AO28" s="55">
        <f t="shared" si="16"/>
        <v>0</v>
      </c>
      <c r="AP28" s="55">
        <f t="shared" si="17"/>
        <v>0</v>
      </c>
      <c r="AQ28" s="54" t="s">
        <v>157</v>
      </c>
      <c r="AV28" s="55">
        <f t="shared" si="18"/>
        <v>0</v>
      </c>
      <c r="AW28" s="55">
        <f t="shared" si="19"/>
        <v>0</v>
      </c>
      <c r="AX28" s="55">
        <f t="shared" si="20"/>
        <v>0</v>
      </c>
      <c r="AY28" s="54" t="s">
        <v>199</v>
      </c>
      <c r="AZ28" s="54" t="s">
        <v>178</v>
      </c>
      <c r="BA28" s="75" t="s">
        <v>160</v>
      </c>
      <c r="BC28" s="55">
        <f t="shared" si="21"/>
        <v>0</v>
      </c>
      <c r="BD28" s="55">
        <f t="shared" si="22"/>
        <v>0</v>
      </c>
      <c r="BE28" s="55">
        <v>0</v>
      </c>
      <c r="BF28" s="55">
        <f t="shared" si="23"/>
        <v>2.4500000000000001E-2</v>
      </c>
      <c r="BH28" s="55">
        <f t="shared" si="24"/>
        <v>0</v>
      </c>
      <c r="BI28" s="55">
        <f t="shared" si="25"/>
        <v>0</v>
      </c>
      <c r="BJ28" s="55">
        <f t="shared" si="26"/>
        <v>0</v>
      </c>
      <c r="BK28" s="54" t="s">
        <v>161</v>
      </c>
      <c r="BL28" s="55">
        <v>725</v>
      </c>
      <c r="BW28" s="55">
        <f t="shared" si="27"/>
        <v>21</v>
      </c>
      <c r="BX28" s="16" t="s">
        <v>205</v>
      </c>
    </row>
    <row r="29" spans="1:76" ht="15" customHeight="1" x14ac:dyDescent="0.3">
      <c r="A29" s="94" t="s">
        <v>206</v>
      </c>
      <c r="B29" s="94" t="s">
        <v>103</v>
      </c>
      <c r="C29" s="94" t="s">
        <v>207</v>
      </c>
      <c r="D29" s="199" t="s">
        <v>208</v>
      </c>
      <c r="E29" s="199"/>
      <c r="F29" s="94" t="s">
        <v>198</v>
      </c>
      <c r="G29" s="96">
        <f>'Stavební rozpočet'!G29</f>
        <v>2</v>
      </c>
      <c r="H29" s="97">
        <f>'Stavební rozpočet'!H29</f>
        <v>0</v>
      </c>
      <c r="I29" s="98">
        <v>21</v>
      </c>
      <c r="J29" s="97">
        <f t="shared" si="0"/>
        <v>0</v>
      </c>
      <c r="K29" s="97">
        <f t="shared" si="1"/>
        <v>0</v>
      </c>
      <c r="L29" s="97">
        <f t="shared" si="2"/>
        <v>0</v>
      </c>
      <c r="M29" s="97">
        <f t="shared" si="3"/>
        <v>0</v>
      </c>
      <c r="N29" s="97">
        <f>'Stavební rozpočet'!N29</f>
        <v>1.7069999999999998E-2</v>
      </c>
      <c r="O29" s="97">
        <f t="shared" si="4"/>
        <v>3.4139999999999997E-2</v>
      </c>
      <c r="P29" s="99" t="s">
        <v>156</v>
      </c>
      <c r="Z29" s="55">
        <f t="shared" si="5"/>
        <v>0</v>
      </c>
      <c r="AB29" s="55">
        <f t="shared" si="6"/>
        <v>0</v>
      </c>
      <c r="AC29" s="55">
        <f t="shared" si="7"/>
        <v>0</v>
      </c>
      <c r="AD29" s="55">
        <f t="shared" si="8"/>
        <v>0</v>
      </c>
      <c r="AE29" s="55">
        <f t="shared" si="9"/>
        <v>0</v>
      </c>
      <c r="AF29" s="55">
        <f t="shared" si="10"/>
        <v>0</v>
      </c>
      <c r="AG29" s="55">
        <f t="shared" si="11"/>
        <v>0</v>
      </c>
      <c r="AH29" s="55">
        <f t="shared" si="12"/>
        <v>0</v>
      </c>
      <c r="AI29" s="75" t="s">
        <v>103</v>
      </c>
      <c r="AJ29" s="55">
        <f t="shared" si="13"/>
        <v>0</v>
      </c>
      <c r="AK29" s="55">
        <f t="shared" si="14"/>
        <v>0</v>
      </c>
      <c r="AL29" s="55">
        <f t="shared" si="15"/>
        <v>0</v>
      </c>
      <c r="AN29" s="55">
        <v>21</v>
      </c>
      <c r="AO29" s="55">
        <f t="shared" si="16"/>
        <v>0</v>
      </c>
      <c r="AP29" s="55">
        <f t="shared" si="17"/>
        <v>0</v>
      </c>
      <c r="AQ29" s="54" t="s">
        <v>157</v>
      </c>
      <c r="AV29" s="55">
        <f t="shared" si="18"/>
        <v>0</v>
      </c>
      <c r="AW29" s="55">
        <f t="shared" si="19"/>
        <v>0</v>
      </c>
      <c r="AX29" s="55">
        <f t="shared" si="20"/>
        <v>0</v>
      </c>
      <c r="AY29" s="54" t="s">
        <v>199</v>
      </c>
      <c r="AZ29" s="54" t="s">
        <v>178</v>
      </c>
      <c r="BA29" s="75" t="s">
        <v>160</v>
      </c>
      <c r="BC29" s="55">
        <f t="shared" si="21"/>
        <v>0</v>
      </c>
      <c r="BD29" s="55">
        <f t="shared" si="22"/>
        <v>0</v>
      </c>
      <c r="BE29" s="55">
        <v>0</v>
      </c>
      <c r="BF29" s="55">
        <f t="shared" si="23"/>
        <v>3.4139999999999997E-2</v>
      </c>
      <c r="BH29" s="55">
        <f t="shared" si="24"/>
        <v>0</v>
      </c>
      <c r="BI29" s="55">
        <f t="shared" si="25"/>
        <v>0</v>
      </c>
      <c r="BJ29" s="55">
        <f t="shared" si="26"/>
        <v>0</v>
      </c>
      <c r="BK29" s="54" t="s">
        <v>161</v>
      </c>
      <c r="BL29" s="55">
        <v>725</v>
      </c>
      <c r="BW29" s="55">
        <f t="shared" si="27"/>
        <v>21</v>
      </c>
      <c r="BX29" s="16" t="s">
        <v>208</v>
      </c>
    </row>
    <row r="30" spans="1:76" ht="15" customHeight="1" x14ac:dyDescent="0.3">
      <c r="A30" s="94" t="s">
        <v>209</v>
      </c>
      <c r="B30" s="94" t="s">
        <v>103</v>
      </c>
      <c r="C30" s="94" t="s">
        <v>210</v>
      </c>
      <c r="D30" s="199" t="s">
        <v>211</v>
      </c>
      <c r="E30" s="199"/>
      <c r="F30" s="94" t="s">
        <v>212</v>
      </c>
      <c r="G30" s="96">
        <f>'Stavební rozpočet'!G30</f>
        <v>5</v>
      </c>
      <c r="H30" s="97">
        <f>'Stavební rozpočet'!H30</f>
        <v>0</v>
      </c>
      <c r="I30" s="98">
        <v>21</v>
      </c>
      <c r="J30" s="97">
        <f t="shared" si="0"/>
        <v>0</v>
      </c>
      <c r="K30" s="97">
        <f t="shared" si="1"/>
        <v>0</v>
      </c>
      <c r="L30" s="97">
        <f t="shared" si="2"/>
        <v>0</v>
      </c>
      <c r="M30" s="97">
        <f t="shared" si="3"/>
        <v>0</v>
      </c>
      <c r="N30" s="97">
        <f>'Stavební rozpočet'!N30</f>
        <v>3.1870000000000002E-2</v>
      </c>
      <c r="O30" s="97">
        <f t="shared" si="4"/>
        <v>0.15935000000000002</v>
      </c>
      <c r="P30" s="99" t="s">
        <v>156</v>
      </c>
      <c r="Z30" s="55">
        <f t="shared" si="5"/>
        <v>0</v>
      </c>
      <c r="AB30" s="55">
        <f t="shared" si="6"/>
        <v>0</v>
      </c>
      <c r="AC30" s="55">
        <f t="shared" si="7"/>
        <v>0</v>
      </c>
      <c r="AD30" s="55">
        <f t="shared" si="8"/>
        <v>0</v>
      </c>
      <c r="AE30" s="55">
        <f t="shared" si="9"/>
        <v>0</v>
      </c>
      <c r="AF30" s="55">
        <f t="shared" si="10"/>
        <v>0</v>
      </c>
      <c r="AG30" s="55">
        <f t="shared" si="11"/>
        <v>0</v>
      </c>
      <c r="AH30" s="55">
        <f t="shared" si="12"/>
        <v>0</v>
      </c>
      <c r="AI30" s="75" t="s">
        <v>103</v>
      </c>
      <c r="AJ30" s="55">
        <f t="shared" si="13"/>
        <v>0</v>
      </c>
      <c r="AK30" s="55">
        <f t="shared" si="14"/>
        <v>0</v>
      </c>
      <c r="AL30" s="55">
        <f t="shared" si="15"/>
        <v>0</v>
      </c>
      <c r="AN30" s="55">
        <v>21</v>
      </c>
      <c r="AO30" s="55">
        <f t="shared" si="16"/>
        <v>0</v>
      </c>
      <c r="AP30" s="55">
        <f t="shared" si="17"/>
        <v>0</v>
      </c>
      <c r="AQ30" s="54" t="s">
        <v>157</v>
      </c>
      <c r="AV30" s="55">
        <f t="shared" si="18"/>
        <v>0</v>
      </c>
      <c r="AW30" s="55">
        <f t="shared" si="19"/>
        <v>0</v>
      </c>
      <c r="AX30" s="55">
        <f t="shared" si="20"/>
        <v>0</v>
      </c>
      <c r="AY30" s="54" t="s">
        <v>199</v>
      </c>
      <c r="AZ30" s="54" t="s">
        <v>178</v>
      </c>
      <c r="BA30" s="75" t="s">
        <v>160</v>
      </c>
      <c r="BC30" s="55">
        <f t="shared" si="21"/>
        <v>0</v>
      </c>
      <c r="BD30" s="55">
        <f t="shared" si="22"/>
        <v>0</v>
      </c>
      <c r="BE30" s="55">
        <v>0</v>
      </c>
      <c r="BF30" s="55">
        <f t="shared" si="23"/>
        <v>0.15935000000000002</v>
      </c>
      <c r="BH30" s="55">
        <f t="shared" si="24"/>
        <v>0</v>
      </c>
      <c r="BI30" s="55">
        <f t="shared" si="25"/>
        <v>0</v>
      </c>
      <c r="BJ30" s="55">
        <f t="shared" si="26"/>
        <v>0</v>
      </c>
      <c r="BK30" s="54" t="s">
        <v>161</v>
      </c>
      <c r="BL30" s="55">
        <v>725</v>
      </c>
      <c r="BW30" s="55">
        <f t="shared" si="27"/>
        <v>21</v>
      </c>
      <c r="BX30" s="16" t="s">
        <v>211</v>
      </c>
    </row>
    <row r="31" spans="1:76" ht="15" customHeight="1" x14ac:dyDescent="0.3">
      <c r="A31" s="94" t="s">
        <v>213</v>
      </c>
      <c r="B31" s="94" t="s">
        <v>103</v>
      </c>
      <c r="C31" s="94" t="s">
        <v>214</v>
      </c>
      <c r="D31" s="199" t="s">
        <v>215</v>
      </c>
      <c r="E31" s="199"/>
      <c r="F31" s="94" t="s">
        <v>198</v>
      </c>
      <c r="G31" s="96">
        <f>'Stavební rozpočet'!G31</f>
        <v>1</v>
      </c>
      <c r="H31" s="97">
        <f>'Stavební rozpočet'!H31</f>
        <v>0</v>
      </c>
      <c r="I31" s="98">
        <v>21</v>
      </c>
      <c r="J31" s="97">
        <f t="shared" si="0"/>
        <v>0</v>
      </c>
      <c r="K31" s="97">
        <f t="shared" si="1"/>
        <v>0</v>
      </c>
      <c r="L31" s="97">
        <f t="shared" si="2"/>
        <v>0</v>
      </c>
      <c r="M31" s="97">
        <f t="shared" si="3"/>
        <v>0</v>
      </c>
      <c r="N31" s="97">
        <f>'Stavební rozpočet'!N31</f>
        <v>8.7999999999999995E-2</v>
      </c>
      <c r="O31" s="97">
        <f t="shared" si="4"/>
        <v>8.7999999999999995E-2</v>
      </c>
      <c r="P31" s="99" t="s">
        <v>156</v>
      </c>
      <c r="Z31" s="55">
        <f t="shared" si="5"/>
        <v>0</v>
      </c>
      <c r="AB31" s="55">
        <f t="shared" si="6"/>
        <v>0</v>
      </c>
      <c r="AC31" s="55">
        <f t="shared" si="7"/>
        <v>0</v>
      </c>
      <c r="AD31" s="55">
        <f t="shared" si="8"/>
        <v>0</v>
      </c>
      <c r="AE31" s="55">
        <f t="shared" si="9"/>
        <v>0</v>
      </c>
      <c r="AF31" s="55">
        <f t="shared" si="10"/>
        <v>0</v>
      </c>
      <c r="AG31" s="55">
        <f t="shared" si="11"/>
        <v>0</v>
      </c>
      <c r="AH31" s="55">
        <f t="shared" si="12"/>
        <v>0</v>
      </c>
      <c r="AI31" s="75" t="s">
        <v>103</v>
      </c>
      <c r="AJ31" s="55">
        <f t="shared" si="13"/>
        <v>0</v>
      </c>
      <c r="AK31" s="55">
        <f t="shared" si="14"/>
        <v>0</v>
      </c>
      <c r="AL31" s="55">
        <f t="shared" si="15"/>
        <v>0</v>
      </c>
      <c r="AN31" s="55">
        <v>21</v>
      </c>
      <c r="AO31" s="55">
        <f t="shared" si="16"/>
        <v>0</v>
      </c>
      <c r="AP31" s="55">
        <f t="shared" si="17"/>
        <v>0</v>
      </c>
      <c r="AQ31" s="54" t="s">
        <v>157</v>
      </c>
      <c r="AV31" s="55">
        <f t="shared" si="18"/>
        <v>0</v>
      </c>
      <c r="AW31" s="55">
        <f t="shared" si="19"/>
        <v>0</v>
      </c>
      <c r="AX31" s="55">
        <f t="shared" si="20"/>
        <v>0</v>
      </c>
      <c r="AY31" s="54" t="s">
        <v>199</v>
      </c>
      <c r="AZ31" s="54" t="s">
        <v>178</v>
      </c>
      <c r="BA31" s="75" t="s">
        <v>160</v>
      </c>
      <c r="BC31" s="55">
        <f t="shared" si="21"/>
        <v>0</v>
      </c>
      <c r="BD31" s="55">
        <f t="shared" si="22"/>
        <v>0</v>
      </c>
      <c r="BE31" s="55">
        <v>0</v>
      </c>
      <c r="BF31" s="55">
        <f t="shared" si="23"/>
        <v>8.7999999999999995E-2</v>
      </c>
      <c r="BH31" s="55">
        <f t="shared" si="24"/>
        <v>0</v>
      </c>
      <c r="BI31" s="55">
        <f t="shared" si="25"/>
        <v>0</v>
      </c>
      <c r="BJ31" s="55">
        <f t="shared" si="26"/>
        <v>0</v>
      </c>
      <c r="BK31" s="54" t="s">
        <v>161</v>
      </c>
      <c r="BL31" s="55">
        <v>725</v>
      </c>
      <c r="BW31" s="55">
        <f t="shared" si="27"/>
        <v>21</v>
      </c>
      <c r="BX31" s="16" t="s">
        <v>215</v>
      </c>
    </row>
    <row r="32" spans="1:76" ht="15" customHeight="1" x14ac:dyDescent="0.3">
      <c r="A32" s="88"/>
      <c r="B32" s="89" t="s">
        <v>103</v>
      </c>
      <c r="C32" s="89" t="s">
        <v>216</v>
      </c>
      <c r="D32" s="198" t="s">
        <v>217</v>
      </c>
      <c r="E32" s="198"/>
      <c r="F32" s="88" t="s">
        <v>96</v>
      </c>
      <c r="G32" s="90" t="s">
        <v>96</v>
      </c>
      <c r="H32" s="88" t="s">
        <v>96</v>
      </c>
      <c r="I32" s="88" t="s">
        <v>96</v>
      </c>
      <c r="J32" s="91">
        <f>SUM(J33:J34)</f>
        <v>0</v>
      </c>
      <c r="K32" s="91">
        <f>SUM(K33:K34)</f>
        <v>0</v>
      </c>
      <c r="L32" s="91">
        <f>SUM(L33:L34)</f>
        <v>0</v>
      </c>
      <c r="M32" s="91">
        <f>SUM(M33:M34)</f>
        <v>0</v>
      </c>
      <c r="N32" s="92"/>
      <c r="O32" s="91">
        <f>SUM(O33:O34)</f>
        <v>0.31490000000000001</v>
      </c>
      <c r="P32" s="92"/>
      <c r="AI32" s="75" t="s">
        <v>103</v>
      </c>
      <c r="AS32" s="68">
        <f>SUM(AJ33:AJ34)</f>
        <v>0</v>
      </c>
      <c r="AT32" s="68">
        <f>SUM(AK33:AK34)</f>
        <v>0</v>
      </c>
      <c r="AU32" s="68">
        <f>SUM(AL33:AL34)</f>
        <v>0</v>
      </c>
    </row>
    <row r="33" spans="1:76" ht="15" customHeight="1" x14ac:dyDescent="0.3">
      <c r="A33" s="94" t="s">
        <v>218</v>
      </c>
      <c r="B33" s="94" t="s">
        <v>103</v>
      </c>
      <c r="C33" s="94" t="s">
        <v>219</v>
      </c>
      <c r="D33" s="199" t="s">
        <v>220</v>
      </c>
      <c r="E33" s="199"/>
      <c r="F33" s="94" t="s">
        <v>176</v>
      </c>
      <c r="G33" s="96">
        <f>'Stavební rozpočet'!G33</f>
        <v>85</v>
      </c>
      <c r="H33" s="97">
        <f>'Stavební rozpočet'!H33</f>
        <v>0</v>
      </c>
      <c r="I33" s="98">
        <v>21</v>
      </c>
      <c r="J33" s="97">
        <f>ROUND(G33*AO33,2)</f>
        <v>0</v>
      </c>
      <c r="K33" s="97">
        <f>ROUND(G33*AP33,2)</f>
        <v>0</v>
      </c>
      <c r="L33" s="97">
        <f>ROUND(G33*H33,2)</f>
        <v>0</v>
      </c>
      <c r="M33" s="97">
        <f>L33*(1+BW33/100)</f>
        <v>0</v>
      </c>
      <c r="N33" s="97">
        <f>'Stavební rozpočet'!N33</f>
        <v>2.5799999999999998E-3</v>
      </c>
      <c r="O33" s="97">
        <f>G33*N33</f>
        <v>0.21929999999999999</v>
      </c>
      <c r="P33" s="99" t="s">
        <v>156</v>
      </c>
      <c r="Z33" s="55">
        <f>ROUND(IF(AQ33="5",BJ33,0),2)</f>
        <v>0</v>
      </c>
      <c r="AB33" s="55">
        <f>ROUND(IF(AQ33="1",BH33,0),2)</f>
        <v>0</v>
      </c>
      <c r="AC33" s="55">
        <f>ROUND(IF(AQ33="1",BI33,0),2)</f>
        <v>0</v>
      </c>
      <c r="AD33" s="55">
        <f>ROUND(IF(AQ33="7",BH33,0),2)</f>
        <v>0</v>
      </c>
      <c r="AE33" s="55">
        <f>ROUND(IF(AQ33="7",BI33,0),2)</f>
        <v>0</v>
      </c>
      <c r="AF33" s="55">
        <f>ROUND(IF(AQ33="2",BH33,0),2)</f>
        <v>0</v>
      </c>
      <c r="AG33" s="55">
        <f>ROUND(IF(AQ33="2",BI33,0),2)</f>
        <v>0</v>
      </c>
      <c r="AH33" s="55">
        <f>ROUND(IF(AQ33="0",BJ33,0),2)</f>
        <v>0</v>
      </c>
      <c r="AI33" s="75" t="s">
        <v>103</v>
      </c>
      <c r="AJ33" s="55">
        <f>IF(AN33=0,L33,0)</f>
        <v>0</v>
      </c>
      <c r="AK33" s="55">
        <f>IF(AN33=12,L33,0)</f>
        <v>0</v>
      </c>
      <c r="AL33" s="55">
        <f>IF(AN33=21,L33,0)</f>
        <v>0</v>
      </c>
      <c r="AN33" s="55">
        <v>21</v>
      </c>
      <c r="AO33" s="55">
        <f>H33*0.199520312</f>
        <v>0</v>
      </c>
      <c r="AP33" s="55">
        <f>H33*(1-0.199520312)</f>
        <v>0</v>
      </c>
      <c r="AQ33" s="54" t="s">
        <v>157</v>
      </c>
      <c r="AV33" s="55">
        <f>ROUND(AW33+AX33,2)</f>
        <v>0</v>
      </c>
      <c r="AW33" s="55">
        <f>ROUND(G33*AO33,2)</f>
        <v>0</v>
      </c>
      <c r="AX33" s="55">
        <f>ROUND(G33*AP33,2)</f>
        <v>0</v>
      </c>
      <c r="AY33" s="54" t="s">
        <v>221</v>
      </c>
      <c r="AZ33" s="54" t="s">
        <v>222</v>
      </c>
      <c r="BA33" s="75" t="s">
        <v>160</v>
      </c>
      <c r="BC33" s="55">
        <f>AW33+AX33</f>
        <v>0</v>
      </c>
      <c r="BD33" s="55">
        <f>H33/(100-BE33)*100</f>
        <v>0</v>
      </c>
      <c r="BE33" s="55">
        <v>0</v>
      </c>
      <c r="BF33" s="55">
        <f>O33</f>
        <v>0.21929999999999999</v>
      </c>
      <c r="BH33" s="55">
        <f>G33*AO33</f>
        <v>0</v>
      </c>
      <c r="BI33" s="55">
        <f>G33*AP33</f>
        <v>0</v>
      </c>
      <c r="BJ33" s="55">
        <f>G33*H33</f>
        <v>0</v>
      </c>
      <c r="BK33" s="54" t="s">
        <v>161</v>
      </c>
      <c r="BL33" s="55">
        <v>733</v>
      </c>
      <c r="BW33" s="55">
        <f>I33</f>
        <v>21</v>
      </c>
      <c r="BX33" s="16" t="s">
        <v>220</v>
      </c>
    </row>
    <row r="34" spans="1:76" ht="15" customHeight="1" x14ac:dyDescent="0.3">
      <c r="A34" s="94" t="s">
        <v>223</v>
      </c>
      <c r="B34" s="94" t="s">
        <v>103</v>
      </c>
      <c r="C34" s="94" t="s">
        <v>224</v>
      </c>
      <c r="D34" s="199" t="s">
        <v>225</v>
      </c>
      <c r="E34" s="199"/>
      <c r="F34" s="94" t="s">
        <v>176</v>
      </c>
      <c r="G34" s="96">
        <f>'Stavební rozpočet'!G34</f>
        <v>20</v>
      </c>
      <c r="H34" s="97">
        <f>'Stavební rozpočet'!H34</f>
        <v>0</v>
      </c>
      <c r="I34" s="98">
        <v>21</v>
      </c>
      <c r="J34" s="97">
        <f>ROUND(G34*AO34,2)</f>
        <v>0</v>
      </c>
      <c r="K34" s="97">
        <f>ROUND(G34*AP34,2)</f>
        <v>0</v>
      </c>
      <c r="L34" s="97">
        <f>ROUND(G34*H34,2)</f>
        <v>0</v>
      </c>
      <c r="M34" s="97">
        <f>L34*(1+BW34/100)</f>
        <v>0</v>
      </c>
      <c r="N34" s="97">
        <f>'Stavební rozpočet'!N34</f>
        <v>4.7800000000000004E-3</v>
      </c>
      <c r="O34" s="97">
        <f>G34*N34</f>
        <v>9.5600000000000004E-2</v>
      </c>
      <c r="P34" s="99" t="s">
        <v>156</v>
      </c>
      <c r="Z34" s="55">
        <f>ROUND(IF(AQ34="5",BJ34,0),2)</f>
        <v>0</v>
      </c>
      <c r="AB34" s="55">
        <f>ROUND(IF(AQ34="1",BH34,0),2)</f>
        <v>0</v>
      </c>
      <c r="AC34" s="55">
        <f>ROUND(IF(AQ34="1",BI34,0),2)</f>
        <v>0</v>
      </c>
      <c r="AD34" s="55">
        <f>ROUND(IF(AQ34="7",BH34,0),2)</f>
        <v>0</v>
      </c>
      <c r="AE34" s="55">
        <f>ROUND(IF(AQ34="7",BI34,0),2)</f>
        <v>0</v>
      </c>
      <c r="AF34" s="55">
        <f>ROUND(IF(AQ34="2",BH34,0),2)</f>
        <v>0</v>
      </c>
      <c r="AG34" s="55">
        <f>ROUND(IF(AQ34="2",BI34,0),2)</f>
        <v>0</v>
      </c>
      <c r="AH34" s="55">
        <f>ROUND(IF(AQ34="0",BJ34,0),2)</f>
        <v>0</v>
      </c>
      <c r="AI34" s="75" t="s">
        <v>103</v>
      </c>
      <c r="AJ34" s="55">
        <f>IF(AN34=0,L34,0)</f>
        <v>0</v>
      </c>
      <c r="AK34" s="55">
        <f>IF(AN34=12,L34,0)</f>
        <v>0</v>
      </c>
      <c r="AL34" s="55">
        <f>IF(AN34=21,L34,0)</f>
        <v>0</v>
      </c>
      <c r="AN34" s="55">
        <v>21</v>
      </c>
      <c r="AO34" s="55">
        <f>H34*0.161482255</f>
        <v>0</v>
      </c>
      <c r="AP34" s="55">
        <f>H34*(1-0.161482255)</f>
        <v>0</v>
      </c>
      <c r="AQ34" s="54" t="s">
        <v>157</v>
      </c>
      <c r="AV34" s="55">
        <f>ROUND(AW34+AX34,2)</f>
        <v>0</v>
      </c>
      <c r="AW34" s="55">
        <f>ROUND(G34*AO34,2)</f>
        <v>0</v>
      </c>
      <c r="AX34" s="55">
        <f>ROUND(G34*AP34,2)</f>
        <v>0</v>
      </c>
      <c r="AY34" s="54" t="s">
        <v>221</v>
      </c>
      <c r="AZ34" s="54" t="s">
        <v>222</v>
      </c>
      <c r="BA34" s="75" t="s">
        <v>160</v>
      </c>
      <c r="BC34" s="55">
        <f>AW34+AX34</f>
        <v>0</v>
      </c>
      <c r="BD34" s="55">
        <f>H34/(100-BE34)*100</f>
        <v>0</v>
      </c>
      <c r="BE34" s="55">
        <v>0</v>
      </c>
      <c r="BF34" s="55">
        <f>O34</f>
        <v>9.5600000000000004E-2</v>
      </c>
      <c r="BH34" s="55">
        <f>G34*AO34</f>
        <v>0</v>
      </c>
      <c r="BI34" s="55">
        <f>G34*AP34</f>
        <v>0</v>
      </c>
      <c r="BJ34" s="55">
        <f>G34*H34</f>
        <v>0</v>
      </c>
      <c r="BK34" s="54" t="s">
        <v>161</v>
      </c>
      <c r="BL34" s="55">
        <v>733</v>
      </c>
      <c r="BW34" s="55">
        <f>I34</f>
        <v>21</v>
      </c>
      <c r="BX34" s="16" t="s">
        <v>225</v>
      </c>
    </row>
    <row r="35" spans="1:76" ht="15" customHeight="1" x14ac:dyDescent="0.3">
      <c r="A35" s="88"/>
      <c r="B35" s="89" t="s">
        <v>103</v>
      </c>
      <c r="C35" s="89" t="s">
        <v>226</v>
      </c>
      <c r="D35" s="198" t="s">
        <v>227</v>
      </c>
      <c r="E35" s="198"/>
      <c r="F35" s="88" t="s">
        <v>96</v>
      </c>
      <c r="G35" s="90" t="s">
        <v>96</v>
      </c>
      <c r="H35" s="88" t="s">
        <v>96</v>
      </c>
      <c r="I35" s="88" t="s">
        <v>96</v>
      </c>
      <c r="J35" s="91">
        <f>SUM(J36)</f>
        <v>0</v>
      </c>
      <c r="K35" s="91">
        <f>SUM(K36)</f>
        <v>0</v>
      </c>
      <c r="L35" s="91">
        <f>SUM(L36)</f>
        <v>0</v>
      </c>
      <c r="M35" s="91">
        <f>SUM(M36)</f>
        <v>0</v>
      </c>
      <c r="N35" s="92"/>
      <c r="O35" s="91">
        <f>SUM(O36)</f>
        <v>0.4284</v>
      </c>
      <c r="P35" s="92"/>
      <c r="AI35" s="75" t="s">
        <v>103</v>
      </c>
      <c r="AS35" s="68">
        <f>SUM(AJ36)</f>
        <v>0</v>
      </c>
      <c r="AT35" s="68">
        <f>SUM(AK36)</f>
        <v>0</v>
      </c>
      <c r="AU35" s="68">
        <f>SUM(AL36)</f>
        <v>0</v>
      </c>
    </row>
    <row r="36" spans="1:76" ht="15" customHeight="1" x14ac:dyDescent="0.3">
      <c r="A36" s="94" t="s">
        <v>228</v>
      </c>
      <c r="B36" s="94" t="s">
        <v>103</v>
      </c>
      <c r="C36" s="94" t="s">
        <v>229</v>
      </c>
      <c r="D36" s="199" t="s">
        <v>230</v>
      </c>
      <c r="E36" s="199"/>
      <c r="F36" s="94" t="s">
        <v>155</v>
      </c>
      <c r="G36" s="96">
        <f>'Stavební rozpočet'!G36</f>
        <v>18</v>
      </c>
      <c r="H36" s="97">
        <f>'Stavební rozpočet'!H36</f>
        <v>0</v>
      </c>
      <c r="I36" s="98">
        <v>21</v>
      </c>
      <c r="J36" s="97">
        <f>ROUND(G36*AO36,2)</f>
        <v>0</v>
      </c>
      <c r="K36" s="97">
        <f>ROUND(G36*AP36,2)</f>
        <v>0</v>
      </c>
      <c r="L36" s="97">
        <f>ROUND(G36*H36,2)</f>
        <v>0</v>
      </c>
      <c r="M36" s="97">
        <f>L36*(1+BW36/100)</f>
        <v>0</v>
      </c>
      <c r="N36" s="97">
        <f>'Stavební rozpočet'!N36</f>
        <v>2.3800000000000002E-2</v>
      </c>
      <c r="O36" s="97">
        <f>G36*N36</f>
        <v>0.4284</v>
      </c>
      <c r="P36" s="99" t="s">
        <v>156</v>
      </c>
      <c r="Z36" s="55">
        <f>ROUND(IF(AQ36="5",BJ36,0),2)</f>
        <v>0</v>
      </c>
      <c r="AB36" s="55">
        <f>ROUND(IF(AQ36="1",BH36,0),2)</f>
        <v>0</v>
      </c>
      <c r="AC36" s="55">
        <f>ROUND(IF(AQ36="1",BI36,0),2)</f>
        <v>0</v>
      </c>
      <c r="AD36" s="55">
        <f>ROUND(IF(AQ36="7",BH36,0),2)</f>
        <v>0</v>
      </c>
      <c r="AE36" s="55">
        <f>ROUND(IF(AQ36="7",BI36,0),2)</f>
        <v>0</v>
      </c>
      <c r="AF36" s="55">
        <f>ROUND(IF(AQ36="2",BH36,0),2)</f>
        <v>0</v>
      </c>
      <c r="AG36" s="55">
        <f>ROUND(IF(AQ36="2",BI36,0),2)</f>
        <v>0</v>
      </c>
      <c r="AH36" s="55">
        <f>ROUND(IF(AQ36="0",BJ36,0),2)</f>
        <v>0</v>
      </c>
      <c r="AI36" s="75" t="s">
        <v>103</v>
      </c>
      <c r="AJ36" s="55">
        <f>IF(AN36=0,L36,0)</f>
        <v>0</v>
      </c>
      <c r="AK36" s="55">
        <f>IF(AN36=12,L36,0)</f>
        <v>0</v>
      </c>
      <c r="AL36" s="55">
        <f>IF(AN36=21,L36,0)</f>
        <v>0</v>
      </c>
      <c r="AN36" s="55">
        <v>21</v>
      </c>
      <c r="AO36" s="55">
        <f>H36*0</f>
        <v>0</v>
      </c>
      <c r="AP36" s="55">
        <f>H36*(1-0)</f>
        <v>0</v>
      </c>
      <c r="AQ36" s="54" t="s">
        <v>157</v>
      </c>
      <c r="AV36" s="55">
        <f>ROUND(AW36+AX36,2)</f>
        <v>0</v>
      </c>
      <c r="AW36" s="55">
        <f>ROUND(G36*AO36,2)</f>
        <v>0</v>
      </c>
      <c r="AX36" s="55">
        <f>ROUND(G36*AP36,2)</f>
        <v>0</v>
      </c>
      <c r="AY36" s="54" t="s">
        <v>231</v>
      </c>
      <c r="AZ36" s="54" t="s">
        <v>222</v>
      </c>
      <c r="BA36" s="75" t="s">
        <v>160</v>
      </c>
      <c r="BC36" s="55">
        <f>AW36+AX36</f>
        <v>0</v>
      </c>
      <c r="BD36" s="55">
        <f>H36/(100-BE36)*100</f>
        <v>0</v>
      </c>
      <c r="BE36" s="55">
        <v>0</v>
      </c>
      <c r="BF36" s="55">
        <f>O36</f>
        <v>0.4284</v>
      </c>
      <c r="BH36" s="55">
        <f>G36*AO36</f>
        <v>0</v>
      </c>
      <c r="BI36" s="55">
        <f>G36*AP36</f>
        <v>0</v>
      </c>
      <c r="BJ36" s="55">
        <f>G36*H36</f>
        <v>0</v>
      </c>
      <c r="BK36" s="54" t="s">
        <v>161</v>
      </c>
      <c r="BL36" s="55">
        <v>735</v>
      </c>
      <c r="BW36" s="55">
        <f>I36</f>
        <v>21</v>
      </c>
      <c r="BX36" s="16" t="s">
        <v>230</v>
      </c>
    </row>
    <row r="37" spans="1:76" ht="15" customHeight="1" x14ac:dyDescent="0.3">
      <c r="A37" s="88"/>
      <c r="B37" s="89" t="s">
        <v>103</v>
      </c>
      <c r="C37" s="89" t="s">
        <v>232</v>
      </c>
      <c r="D37" s="198" t="s">
        <v>233</v>
      </c>
      <c r="E37" s="198"/>
      <c r="F37" s="88" t="s">
        <v>96</v>
      </c>
      <c r="G37" s="90" t="s">
        <v>96</v>
      </c>
      <c r="H37" s="88" t="s">
        <v>96</v>
      </c>
      <c r="I37" s="88" t="s">
        <v>96</v>
      </c>
      <c r="J37" s="91">
        <f>SUM(J38:J39)</f>
        <v>0</v>
      </c>
      <c r="K37" s="91">
        <f>SUM(K38:K39)</f>
        <v>0</v>
      </c>
      <c r="L37" s="91">
        <f>SUM(L38:L39)</f>
        <v>0</v>
      </c>
      <c r="M37" s="91">
        <f>SUM(M38:M39)</f>
        <v>0</v>
      </c>
      <c r="N37" s="92"/>
      <c r="O37" s="91">
        <f>SUM(O38:O39)</f>
        <v>2.8337281600000002</v>
      </c>
      <c r="P37" s="92"/>
      <c r="AI37" s="75" t="s">
        <v>103</v>
      </c>
      <c r="AS37" s="68">
        <f>SUM(AJ38:AJ39)</f>
        <v>0</v>
      </c>
      <c r="AT37" s="68">
        <f>SUM(AK38:AK39)</f>
        <v>0</v>
      </c>
      <c r="AU37" s="68">
        <f>SUM(AL38:AL39)</f>
        <v>0</v>
      </c>
    </row>
    <row r="38" spans="1:76" ht="24" customHeight="1" x14ac:dyDescent="0.3">
      <c r="A38" s="94" t="s">
        <v>234</v>
      </c>
      <c r="B38" s="94" t="s">
        <v>103</v>
      </c>
      <c r="C38" s="94" t="s">
        <v>235</v>
      </c>
      <c r="D38" s="199" t="s">
        <v>236</v>
      </c>
      <c r="E38" s="199"/>
      <c r="F38" s="94" t="s">
        <v>155</v>
      </c>
      <c r="G38" s="96">
        <f>'Stavební rozpočet'!G38</f>
        <v>47.04</v>
      </c>
      <c r="H38" s="97">
        <f>'Stavební rozpočet'!H38</f>
        <v>0</v>
      </c>
      <c r="I38" s="98">
        <v>21</v>
      </c>
      <c r="J38" s="97">
        <f>ROUND(G38*AO38,2)</f>
        <v>0</v>
      </c>
      <c r="K38" s="97">
        <f>ROUND(G38*AP38,2)</f>
        <v>0</v>
      </c>
      <c r="L38" s="97">
        <f>ROUND(G38*H38,2)</f>
        <v>0</v>
      </c>
      <c r="M38" s="97">
        <f>L38*(1+BW38/100)</f>
        <v>0</v>
      </c>
      <c r="N38" s="97">
        <f>'Stavební rozpočet'!N38</f>
        <v>5.5480000000000002E-2</v>
      </c>
      <c r="O38" s="97">
        <f>G38*N38</f>
        <v>2.6097792000000002</v>
      </c>
      <c r="P38" s="99" t="s">
        <v>156</v>
      </c>
      <c r="Z38" s="55">
        <f>ROUND(IF(AQ38="5",BJ38,0),2)</f>
        <v>0</v>
      </c>
      <c r="AB38" s="55">
        <f>ROUND(IF(AQ38="1",BH38,0),2)</f>
        <v>0</v>
      </c>
      <c r="AC38" s="55">
        <f>ROUND(IF(AQ38="1",BI38,0),2)</f>
        <v>0</v>
      </c>
      <c r="AD38" s="55">
        <f>ROUND(IF(AQ38="7",BH38,0),2)</f>
        <v>0</v>
      </c>
      <c r="AE38" s="55">
        <f>ROUND(IF(AQ38="7",BI38,0),2)</f>
        <v>0</v>
      </c>
      <c r="AF38" s="55">
        <f>ROUND(IF(AQ38="2",BH38,0),2)</f>
        <v>0</v>
      </c>
      <c r="AG38" s="55">
        <f>ROUND(IF(AQ38="2",BI38,0),2)</f>
        <v>0</v>
      </c>
      <c r="AH38" s="55">
        <f>ROUND(IF(AQ38="0",BJ38,0),2)</f>
        <v>0</v>
      </c>
      <c r="AI38" s="75" t="s">
        <v>103</v>
      </c>
      <c r="AJ38" s="55">
        <f>IF(AN38=0,L38,0)</f>
        <v>0</v>
      </c>
      <c r="AK38" s="55">
        <f>IF(AN38=12,L38,0)</f>
        <v>0</v>
      </c>
      <c r="AL38" s="55">
        <f>IF(AN38=21,L38,0)</f>
        <v>0</v>
      </c>
      <c r="AN38" s="55">
        <v>21</v>
      </c>
      <c r="AO38" s="55">
        <f>H38*0.040961717</f>
        <v>0</v>
      </c>
      <c r="AP38" s="55">
        <f>H38*(1-0.040961717)</f>
        <v>0</v>
      </c>
      <c r="AQ38" s="54" t="s">
        <v>157</v>
      </c>
      <c r="AV38" s="55">
        <f>ROUND(AW38+AX38,2)</f>
        <v>0</v>
      </c>
      <c r="AW38" s="55">
        <f>ROUND(G38*AO38,2)</f>
        <v>0</v>
      </c>
      <c r="AX38" s="55">
        <f>ROUND(G38*AP38,2)</f>
        <v>0</v>
      </c>
      <c r="AY38" s="54" t="s">
        <v>237</v>
      </c>
      <c r="AZ38" s="54" t="s">
        <v>238</v>
      </c>
      <c r="BA38" s="75" t="s">
        <v>160</v>
      </c>
      <c r="BC38" s="55">
        <f>AW38+AX38</f>
        <v>0</v>
      </c>
      <c r="BD38" s="55">
        <f>H38/(100-BE38)*100</f>
        <v>0</v>
      </c>
      <c r="BE38" s="55">
        <v>0</v>
      </c>
      <c r="BF38" s="55">
        <f>O38</f>
        <v>2.6097792000000002</v>
      </c>
      <c r="BH38" s="55">
        <f>G38*AO38</f>
        <v>0</v>
      </c>
      <c r="BI38" s="55">
        <f>G38*AP38</f>
        <v>0</v>
      </c>
      <c r="BJ38" s="55">
        <f>G38*H38</f>
        <v>0</v>
      </c>
      <c r="BK38" s="54" t="s">
        <v>161</v>
      </c>
      <c r="BL38" s="55">
        <v>762</v>
      </c>
      <c r="BW38" s="55">
        <f>I38</f>
        <v>21</v>
      </c>
      <c r="BX38" s="16" t="s">
        <v>236</v>
      </c>
    </row>
    <row r="39" spans="1:76" ht="15" customHeight="1" x14ac:dyDescent="0.3">
      <c r="A39" s="94" t="s">
        <v>239</v>
      </c>
      <c r="B39" s="94" t="s">
        <v>103</v>
      </c>
      <c r="C39" s="94" t="s">
        <v>240</v>
      </c>
      <c r="D39" s="199" t="s">
        <v>241</v>
      </c>
      <c r="E39" s="199"/>
      <c r="F39" s="94" t="s">
        <v>155</v>
      </c>
      <c r="G39" s="96">
        <f>'Stavební rozpočet'!G39</f>
        <v>10.106</v>
      </c>
      <c r="H39" s="97">
        <f>'Stavební rozpočet'!H39</f>
        <v>0</v>
      </c>
      <c r="I39" s="98">
        <v>21</v>
      </c>
      <c r="J39" s="97">
        <f>ROUND(G39*AO39,2)</f>
        <v>0</v>
      </c>
      <c r="K39" s="97">
        <f>ROUND(G39*AP39,2)</f>
        <v>0</v>
      </c>
      <c r="L39" s="97">
        <f>ROUND(G39*H39,2)</f>
        <v>0</v>
      </c>
      <c r="M39" s="97">
        <f>L39*(1+BW39/100)</f>
        <v>0</v>
      </c>
      <c r="N39" s="97">
        <f>'Stavební rozpočet'!N39</f>
        <v>2.2159999999999999E-2</v>
      </c>
      <c r="O39" s="97">
        <f>G39*N39</f>
        <v>0.22394895999999997</v>
      </c>
      <c r="P39" s="99" t="s">
        <v>156</v>
      </c>
      <c r="Z39" s="55">
        <f>ROUND(IF(AQ39="5",BJ39,0),2)</f>
        <v>0</v>
      </c>
      <c r="AB39" s="55">
        <f>ROUND(IF(AQ39="1",BH39,0),2)</f>
        <v>0</v>
      </c>
      <c r="AC39" s="55">
        <f>ROUND(IF(AQ39="1",BI39,0),2)</f>
        <v>0</v>
      </c>
      <c r="AD39" s="55">
        <f>ROUND(IF(AQ39="7",BH39,0),2)</f>
        <v>0</v>
      </c>
      <c r="AE39" s="55">
        <f>ROUND(IF(AQ39="7",BI39,0),2)</f>
        <v>0</v>
      </c>
      <c r="AF39" s="55">
        <f>ROUND(IF(AQ39="2",BH39,0),2)</f>
        <v>0</v>
      </c>
      <c r="AG39" s="55">
        <f>ROUND(IF(AQ39="2",BI39,0),2)</f>
        <v>0</v>
      </c>
      <c r="AH39" s="55">
        <f>ROUND(IF(AQ39="0",BJ39,0),2)</f>
        <v>0</v>
      </c>
      <c r="AI39" s="75" t="s">
        <v>103</v>
      </c>
      <c r="AJ39" s="55">
        <f>IF(AN39=0,L39,0)</f>
        <v>0</v>
      </c>
      <c r="AK39" s="55">
        <f>IF(AN39=12,L39,0)</f>
        <v>0</v>
      </c>
      <c r="AL39" s="55">
        <f>IF(AN39=21,L39,0)</f>
        <v>0</v>
      </c>
      <c r="AN39" s="55">
        <v>21</v>
      </c>
      <c r="AO39" s="55">
        <f>H39*0.068782378</f>
        <v>0</v>
      </c>
      <c r="AP39" s="55">
        <f>H39*(1-0.068782378)</f>
        <v>0</v>
      </c>
      <c r="AQ39" s="54" t="s">
        <v>157</v>
      </c>
      <c r="AV39" s="55">
        <f>ROUND(AW39+AX39,2)</f>
        <v>0</v>
      </c>
      <c r="AW39" s="55">
        <f>ROUND(G39*AO39,2)</f>
        <v>0</v>
      </c>
      <c r="AX39" s="55">
        <f>ROUND(G39*AP39,2)</f>
        <v>0</v>
      </c>
      <c r="AY39" s="54" t="s">
        <v>237</v>
      </c>
      <c r="AZ39" s="54" t="s">
        <v>238</v>
      </c>
      <c r="BA39" s="75" t="s">
        <v>160</v>
      </c>
      <c r="BC39" s="55">
        <f>AW39+AX39</f>
        <v>0</v>
      </c>
      <c r="BD39" s="55">
        <f>H39/(100-BE39)*100</f>
        <v>0</v>
      </c>
      <c r="BE39" s="55">
        <v>0</v>
      </c>
      <c r="BF39" s="55">
        <f>O39</f>
        <v>0.22394895999999997</v>
      </c>
      <c r="BH39" s="55">
        <f>G39*AO39</f>
        <v>0</v>
      </c>
      <c r="BI39" s="55">
        <f>G39*AP39</f>
        <v>0</v>
      </c>
      <c r="BJ39" s="55">
        <f>G39*H39</f>
        <v>0</v>
      </c>
      <c r="BK39" s="54" t="s">
        <v>161</v>
      </c>
      <c r="BL39" s="55">
        <v>762</v>
      </c>
      <c r="BW39" s="55">
        <f>I39</f>
        <v>21</v>
      </c>
      <c r="BX39" s="16" t="s">
        <v>241</v>
      </c>
    </row>
    <row r="40" spans="1:76" ht="15" customHeight="1" x14ac:dyDescent="0.3">
      <c r="A40" s="88"/>
      <c r="B40" s="89" t="s">
        <v>103</v>
      </c>
      <c r="C40" s="89" t="s">
        <v>242</v>
      </c>
      <c r="D40" s="198" t="s">
        <v>243</v>
      </c>
      <c r="E40" s="198"/>
      <c r="F40" s="88" t="s">
        <v>96</v>
      </c>
      <c r="G40" s="90" t="s">
        <v>96</v>
      </c>
      <c r="H40" s="88" t="s">
        <v>96</v>
      </c>
      <c r="I40" s="88" t="s">
        <v>96</v>
      </c>
      <c r="J40" s="91">
        <f>SUM(J41)</f>
        <v>0</v>
      </c>
      <c r="K40" s="91">
        <f>SUM(K41)</f>
        <v>0</v>
      </c>
      <c r="L40" s="91">
        <f>SUM(L41)</f>
        <v>0</v>
      </c>
      <c r="M40" s="91">
        <f>SUM(M41)</f>
        <v>0</v>
      </c>
      <c r="N40" s="92"/>
      <c r="O40" s="91">
        <f>SUM(O41)</f>
        <v>0.21896399999999999</v>
      </c>
      <c r="P40" s="92"/>
      <c r="AI40" s="75" t="s">
        <v>103</v>
      </c>
      <c r="AS40" s="68">
        <f>SUM(AJ41)</f>
        <v>0</v>
      </c>
      <c r="AT40" s="68">
        <f>SUM(AK41)</f>
        <v>0</v>
      </c>
      <c r="AU40" s="68">
        <f>SUM(AL41)</f>
        <v>0</v>
      </c>
    </row>
    <row r="41" spans="1:76" ht="15" customHeight="1" x14ac:dyDescent="0.3">
      <c r="A41" s="94" t="s">
        <v>244</v>
      </c>
      <c r="B41" s="94" t="s">
        <v>103</v>
      </c>
      <c r="C41" s="94" t="s">
        <v>245</v>
      </c>
      <c r="D41" s="199" t="s">
        <v>246</v>
      </c>
      <c r="E41" s="199"/>
      <c r="F41" s="94" t="s">
        <v>176</v>
      </c>
      <c r="G41" s="96">
        <f>'Stavební rozpočet'!G41</f>
        <v>51.4</v>
      </c>
      <c r="H41" s="97">
        <f>'Stavební rozpočet'!H41</f>
        <v>0</v>
      </c>
      <c r="I41" s="98">
        <v>21</v>
      </c>
      <c r="J41" s="97">
        <f>ROUND(G41*AO41,2)</f>
        <v>0</v>
      </c>
      <c r="K41" s="97">
        <f>ROUND(G41*AP41,2)</f>
        <v>0</v>
      </c>
      <c r="L41" s="97">
        <f>ROUND(G41*H41,2)</f>
        <v>0</v>
      </c>
      <c r="M41" s="97">
        <f>L41*(1+BW41/100)</f>
        <v>0</v>
      </c>
      <c r="N41" s="97">
        <f>'Stavební rozpočet'!N41</f>
        <v>4.2599999999999999E-3</v>
      </c>
      <c r="O41" s="97">
        <f>G41*N41</f>
        <v>0.21896399999999999</v>
      </c>
      <c r="P41" s="99" t="s">
        <v>156</v>
      </c>
      <c r="Z41" s="55">
        <f>ROUND(IF(AQ41="5",BJ41,0),2)</f>
        <v>0</v>
      </c>
      <c r="AB41" s="55">
        <f>ROUND(IF(AQ41="1",BH41,0),2)</f>
        <v>0</v>
      </c>
      <c r="AC41" s="55">
        <f>ROUND(IF(AQ41="1",BI41,0),2)</f>
        <v>0</v>
      </c>
      <c r="AD41" s="55">
        <f>ROUND(IF(AQ41="7",BH41,0),2)</f>
        <v>0</v>
      </c>
      <c r="AE41" s="55">
        <f>ROUND(IF(AQ41="7",BI41,0),2)</f>
        <v>0</v>
      </c>
      <c r="AF41" s="55">
        <f>ROUND(IF(AQ41="2",BH41,0),2)</f>
        <v>0</v>
      </c>
      <c r="AG41" s="55">
        <f>ROUND(IF(AQ41="2",BI41,0),2)</f>
        <v>0</v>
      </c>
      <c r="AH41" s="55">
        <f>ROUND(IF(AQ41="0",BJ41,0),2)</f>
        <v>0</v>
      </c>
      <c r="AI41" s="75" t="s">
        <v>103</v>
      </c>
      <c r="AJ41" s="55">
        <f>IF(AN41=0,L41,0)</f>
        <v>0</v>
      </c>
      <c r="AK41" s="55">
        <f>IF(AN41=12,L41,0)</f>
        <v>0</v>
      </c>
      <c r="AL41" s="55">
        <f>IF(AN41=21,L41,0)</f>
        <v>0</v>
      </c>
      <c r="AN41" s="55">
        <v>21</v>
      </c>
      <c r="AO41" s="55">
        <f>H41*0</f>
        <v>0</v>
      </c>
      <c r="AP41" s="55">
        <f>H41*(1-0)</f>
        <v>0</v>
      </c>
      <c r="AQ41" s="54" t="s">
        <v>157</v>
      </c>
      <c r="AV41" s="55">
        <f>ROUND(AW41+AX41,2)</f>
        <v>0</v>
      </c>
      <c r="AW41" s="55">
        <f>ROUND(G41*AO41,2)</f>
        <v>0</v>
      </c>
      <c r="AX41" s="55">
        <f>ROUND(G41*AP41,2)</f>
        <v>0</v>
      </c>
      <c r="AY41" s="54" t="s">
        <v>247</v>
      </c>
      <c r="AZ41" s="54" t="s">
        <v>238</v>
      </c>
      <c r="BA41" s="75" t="s">
        <v>160</v>
      </c>
      <c r="BC41" s="55">
        <f>AW41+AX41</f>
        <v>0</v>
      </c>
      <c r="BD41" s="55">
        <f>H41/(100-BE41)*100</f>
        <v>0</v>
      </c>
      <c r="BE41" s="55">
        <v>0</v>
      </c>
      <c r="BF41" s="55">
        <f>O41</f>
        <v>0.21896399999999999</v>
      </c>
      <c r="BH41" s="55">
        <f>G41*AO41</f>
        <v>0</v>
      </c>
      <c r="BI41" s="55">
        <f>G41*AP41</f>
        <v>0</v>
      </c>
      <c r="BJ41" s="55">
        <f>G41*H41</f>
        <v>0</v>
      </c>
      <c r="BK41" s="54" t="s">
        <v>161</v>
      </c>
      <c r="BL41" s="55">
        <v>764</v>
      </c>
      <c r="BW41" s="55">
        <f>I41</f>
        <v>21</v>
      </c>
      <c r="BX41" s="16" t="s">
        <v>246</v>
      </c>
    </row>
    <row r="42" spans="1:76" ht="15" customHeight="1" x14ac:dyDescent="0.3">
      <c r="A42" s="88"/>
      <c r="B42" s="89" t="s">
        <v>103</v>
      </c>
      <c r="C42" s="89" t="s">
        <v>248</v>
      </c>
      <c r="D42" s="198" t="s">
        <v>249</v>
      </c>
      <c r="E42" s="198"/>
      <c r="F42" s="88" t="s">
        <v>96</v>
      </c>
      <c r="G42" s="90" t="s">
        <v>96</v>
      </c>
      <c r="H42" s="88" t="s">
        <v>96</v>
      </c>
      <c r="I42" s="88" t="s">
        <v>96</v>
      </c>
      <c r="J42" s="91">
        <f>SUM(J43:J47)</f>
        <v>0</v>
      </c>
      <c r="K42" s="91">
        <f>SUM(K43:K47)</f>
        <v>0</v>
      </c>
      <c r="L42" s="91">
        <f>SUM(L43:L47)</f>
        <v>0</v>
      </c>
      <c r="M42" s="91">
        <f>SUM(M43:M47)</f>
        <v>0</v>
      </c>
      <c r="N42" s="92"/>
      <c r="O42" s="91">
        <f>SUM(O43:O47)</f>
        <v>2.2927249999999999</v>
      </c>
      <c r="P42" s="92"/>
      <c r="AI42" s="75" t="s">
        <v>103</v>
      </c>
      <c r="AS42" s="68">
        <f>SUM(AJ43:AJ47)</f>
        <v>0</v>
      </c>
      <c r="AT42" s="68">
        <f>SUM(AK43:AK47)</f>
        <v>0</v>
      </c>
      <c r="AU42" s="68">
        <f>SUM(AL43:AL47)</f>
        <v>0</v>
      </c>
    </row>
    <row r="43" spans="1:76" ht="15" customHeight="1" x14ac:dyDescent="0.3">
      <c r="A43" s="94" t="s">
        <v>250</v>
      </c>
      <c r="B43" s="94" t="s">
        <v>103</v>
      </c>
      <c r="C43" s="94" t="s">
        <v>251</v>
      </c>
      <c r="D43" s="199" t="s">
        <v>252</v>
      </c>
      <c r="E43" s="199"/>
      <c r="F43" s="94" t="s">
        <v>155</v>
      </c>
      <c r="G43" s="96">
        <f>'Stavební rozpočet'!G43</f>
        <v>16.5</v>
      </c>
      <c r="H43" s="97">
        <f>'Stavební rozpočet'!H43</f>
        <v>0</v>
      </c>
      <c r="I43" s="98">
        <v>21</v>
      </c>
      <c r="J43" s="97">
        <f>ROUND(G43*AO43,2)</f>
        <v>0</v>
      </c>
      <c r="K43" s="97">
        <f>ROUND(G43*AP43,2)</f>
        <v>0</v>
      </c>
      <c r="L43" s="97">
        <f>ROUND(G43*H43,2)</f>
        <v>0</v>
      </c>
      <c r="M43" s="97">
        <f>L43*(1+BW43/100)</f>
        <v>0</v>
      </c>
      <c r="N43" s="97">
        <f>'Stavební rozpočet'!N43</f>
        <v>3.2649999999999998E-2</v>
      </c>
      <c r="O43" s="97">
        <f>G43*N43</f>
        <v>0.53872500000000001</v>
      </c>
      <c r="P43" s="99" t="s">
        <v>156</v>
      </c>
      <c r="Z43" s="55">
        <f>ROUND(IF(AQ43="5",BJ43,0),2)</f>
        <v>0</v>
      </c>
      <c r="AB43" s="55">
        <f>ROUND(IF(AQ43="1",BH43,0),2)</f>
        <v>0</v>
      </c>
      <c r="AC43" s="55">
        <f>ROUND(IF(AQ43="1",BI43,0),2)</f>
        <v>0</v>
      </c>
      <c r="AD43" s="55">
        <f>ROUND(IF(AQ43="7",BH43,0),2)</f>
        <v>0</v>
      </c>
      <c r="AE43" s="55">
        <f>ROUND(IF(AQ43="7",BI43,0),2)</f>
        <v>0</v>
      </c>
      <c r="AF43" s="55">
        <f>ROUND(IF(AQ43="2",BH43,0),2)</f>
        <v>0</v>
      </c>
      <c r="AG43" s="55">
        <f>ROUND(IF(AQ43="2",BI43,0),2)</f>
        <v>0</v>
      </c>
      <c r="AH43" s="55">
        <f>ROUND(IF(AQ43="0",BJ43,0),2)</f>
        <v>0</v>
      </c>
      <c r="AI43" s="75" t="s">
        <v>103</v>
      </c>
      <c r="AJ43" s="55">
        <f>IF(AN43=0,L43,0)</f>
        <v>0</v>
      </c>
      <c r="AK43" s="55">
        <f>IF(AN43=12,L43,0)</f>
        <v>0</v>
      </c>
      <c r="AL43" s="55">
        <f>IF(AN43=21,L43,0)</f>
        <v>0</v>
      </c>
      <c r="AN43" s="55">
        <v>21</v>
      </c>
      <c r="AO43" s="55">
        <f>H43*0</f>
        <v>0</v>
      </c>
      <c r="AP43" s="55">
        <f>H43*(1-0)</f>
        <v>0</v>
      </c>
      <c r="AQ43" s="54" t="s">
        <v>157</v>
      </c>
      <c r="AV43" s="55">
        <f>ROUND(AW43+AX43,2)</f>
        <v>0</v>
      </c>
      <c r="AW43" s="55">
        <f>ROUND(G43*AO43,2)</f>
        <v>0</v>
      </c>
      <c r="AX43" s="55">
        <f>ROUND(G43*AP43,2)</f>
        <v>0</v>
      </c>
      <c r="AY43" s="54" t="s">
        <v>253</v>
      </c>
      <c r="AZ43" s="54" t="s">
        <v>238</v>
      </c>
      <c r="BA43" s="75" t="s">
        <v>160</v>
      </c>
      <c r="BC43" s="55">
        <f>AW43+AX43</f>
        <v>0</v>
      </c>
      <c r="BD43" s="55">
        <f>H43/(100-BE43)*100</f>
        <v>0</v>
      </c>
      <c r="BE43" s="55">
        <v>0</v>
      </c>
      <c r="BF43" s="55">
        <f>O43</f>
        <v>0.53872500000000001</v>
      </c>
      <c r="BH43" s="55">
        <f>G43*AO43</f>
        <v>0</v>
      </c>
      <c r="BI43" s="55">
        <f>G43*AP43</f>
        <v>0</v>
      </c>
      <c r="BJ43" s="55">
        <f>G43*H43</f>
        <v>0</v>
      </c>
      <c r="BK43" s="54" t="s">
        <v>161</v>
      </c>
      <c r="BL43" s="55">
        <v>766</v>
      </c>
      <c r="BW43" s="55">
        <f>I43</f>
        <v>21</v>
      </c>
      <c r="BX43" s="16" t="s">
        <v>252</v>
      </c>
    </row>
    <row r="44" spans="1:76" ht="15" customHeight="1" x14ac:dyDescent="0.3">
      <c r="A44" s="94" t="s">
        <v>254</v>
      </c>
      <c r="B44" s="94" t="s">
        <v>103</v>
      </c>
      <c r="C44" s="94" t="s">
        <v>255</v>
      </c>
      <c r="D44" s="199" t="s">
        <v>256</v>
      </c>
      <c r="E44" s="199"/>
      <c r="F44" s="94" t="s">
        <v>212</v>
      </c>
      <c r="G44" s="96">
        <f>'Stavební rozpočet'!G44</f>
        <v>24</v>
      </c>
      <c r="H44" s="97">
        <f>'Stavební rozpočet'!H44</f>
        <v>0</v>
      </c>
      <c r="I44" s="98">
        <v>21</v>
      </c>
      <c r="J44" s="97">
        <f>ROUND(G44*AO44,2)</f>
        <v>0</v>
      </c>
      <c r="K44" s="97">
        <f>ROUND(G44*AP44,2)</f>
        <v>0</v>
      </c>
      <c r="L44" s="97">
        <f>ROUND(G44*H44,2)</f>
        <v>0</v>
      </c>
      <c r="M44" s="97">
        <f>L44*(1+BW44/100)</f>
        <v>0</v>
      </c>
      <c r="N44" s="97">
        <f>'Stavební rozpočet'!N44</f>
        <v>1.8E-3</v>
      </c>
      <c r="O44" s="97">
        <f>G44*N44</f>
        <v>4.3200000000000002E-2</v>
      </c>
      <c r="P44" s="99" t="s">
        <v>156</v>
      </c>
      <c r="Z44" s="55">
        <f>ROUND(IF(AQ44="5",BJ44,0),2)</f>
        <v>0</v>
      </c>
      <c r="AB44" s="55">
        <f>ROUND(IF(AQ44="1",BH44,0),2)</f>
        <v>0</v>
      </c>
      <c r="AC44" s="55">
        <f>ROUND(IF(AQ44="1",BI44,0),2)</f>
        <v>0</v>
      </c>
      <c r="AD44" s="55">
        <f>ROUND(IF(AQ44="7",BH44,0),2)</f>
        <v>0</v>
      </c>
      <c r="AE44" s="55">
        <f>ROUND(IF(AQ44="7",BI44,0),2)</f>
        <v>0</v>
      </c>
      <c r="AF44" s="55">
        <f>ROUND(IF(AQ44="2",BH44,0),2)</f>
        <v>0</v>
      </c>
      <c r="AG44" s="55">
        <f>ROUND(IF(AQ44="2",BI44,0),2)</f>
        <v>0</v>
      </c>
      <c r="AH44" s="55">
        <f>ROUND(IF(AQ44="0",BJ44,0),2)</f>
        <v>0</v>
      </c>
      <c r="AI44" s="75" t="s">
        <v>103</v>
      </c>
      <c r="AJ44" s="55">
        <f>IF(AN44=0,L44,0)</f>
        <v>0</v>
      </c>
      <c r="AK44" s="55">
        <f>IF(AN44=12,L44,0)</f>
        <v>0</v>
      </c>
      <c r="AL44" s="55">
        <f>IF(AN44=21,L44,0)</f>
        <v>0</v>
      </c>
      <c r="AN44" s="55">
        <v>21</v>
      </c>
      <c r="AO44" s="55">
        <f>H44*0</f>
        <v>0</v>
      </c>
      <c r="AP44" s="55">
        <f>H44*(1-0)</f>
        <v>0</v>
      </c>
      <c r="AQ44" s="54" t="s">
        <v>157</v>
      </c>
      <c r="AV44" s="55">
        <f>ROUND(AW44+AX44,2)</f>
        <v>0</v>
      </c>
      <c r="AW44" s="55">
        <f>ROUND(G44*AO44,2)</f>
        <v>0</v>
      </c>
      <c r="AX44" s="55">
        <f>ROUND(G44*AP44,2)</f>
        <v>0</v>
      </c>
      <c r="AY44" s="54" t="s">
        <v>253</v>
      </c>
      <c r="AZ44" s="54" t="s">
        <v>238</v>
      </c>
      <c r="BA44" s="75" t="s">
        <v>160</v>
      </c>
      <c r="BC44" s="55">
        <f>AW44+AX44</f>
        <v>0</v>
      </c>
      <c r="BD44" s="55">
        <f>H44/(100-BE44)*100</f>
        <v>0</v>
      </c>
      <c r="BE44" s="55">
        <v>0</v>
      </c>
      <c r="BF44" s="55">
        <f>O44</f>
        <v>4.3200000000000002E-2</v>
      </c>
      <c r="BH44" s="55">
        <f>G44*AO44</f>
        <v>0</v>
      </c>
      <c r="BI44" s="55">
        <f>G44*AP44</f>
        <v>0</v>
      </c>
      <c r="BJ44" s="55">
        <f>G44*H44</f>
        <v>0</v>
      </c>
      <c r="BK44" s="54" t="s">
        <v>161</v>
      </c>
      <c r="BL44" s="55">
        <v>766</v>
      </c>
      <c r="BW44" s="55">
        <f>I44</f>
        <v>21</v>
      </c>
      <c r="BX44" s="16" t="s">
        <v>256</v>
      </c>
    </row>
    <row r="45" spans="1:76" ht="15" customHeight="1" x14ac:dyDescent="0.3">
      <c r="A45" s="94" t="s">
        <v>257</v>
      </c>
      <c r="B45" s="94" t="s">
        <v>103</v>
      </c>
      <c r="C45" s="94" t="s">
        <v>258</v>
      </c>
      <c r="D45" s="199" t="s">
        <v>259</v>
      </c>
      <c r="E45" s="199"/>
      <c r="F45" s="94" t="s">
        <v>212</v>
      </c>
      <c r="G45" s="96">
        <f>'Stavební rozpočet'!G45</f>
        <v>4</v>
      </c>
      <c r="H45" s="97">
        <f>'Stavební rozpočet'!H45</f>
        <v>0</v>
      </c>
      <c r="I45" s="98">
        <v>21</v>
      </c>
      <c r="J45" s="97">
        <f>ROUND(G45*AO45,2)</f>
        <v>0</v>
      </c>
      <c r="K45" s="97">
        <f>ROUND(G45*AP45,2)</f>
        <v>0</v>
      </c>
      <c r="L45" s="97">
        <f>ROUND(G45*H45,2)</f>
        <v>0</v>
      </c>
      <c r="M45" s="97">
        <f>L45*(1+BW45/100)</f>
        <v>0</v>
      </c>
      <c r="N45" s="97">
        <f>'Stavební rozpočet'!N45</f>
        <v>8.8099999999999998E-2</v>
      </c>
      <c r="O45" s="97">
        <f>G45*N45</f>
        <v>0.35239999999999999</v>
      </c>
      <c r="P45" s="99" t="s">
        <v>156</v>
      </c>
      <c r="Z45" s="55">
        <f>ROUND(IF(AQ45="5",BJ45,0),2)</f>
        <v>0</v>
      </c>
      <c r="AB45" s="55">
        <f>ROUND(IF(AQ45="1",BH45,0),2)</f>
        <v>0</v>
      </c>
      <c r="AC45" s="55">
        <f>ROUND(IF(AQ45="1",BI45,0),2)</f>
        <v>0</v>
      </c>
      <c r="AD45" s="55">
        <f>ROUND(IF(AQ45="7",BH45,0),2)</f>
        <v>0</v>
      </c>
      <c r="AE45" s="55">
        <f>ROUND(IF(AQ45="7",BI45,0),2)</f>
        <v>0</v>
      </c>
      <c r="AF45" s="55">
        <f>ROUND(IF(AQ45="2",BH45,0),2)</f>
        <v>0</v>
      </c>
      <c r="AG45" s="55">
        <f>ROUND(IF(AQ45="2",BI45,0),2)</f>
        <v>0</v>
      </c>
      <c r="AH45" s="55">
        <f>ROUND(IF(AQ45="0",BJ45,0),2)</f>
        <v>0</v>
      </c>
      <c r="AI45" s="75" t="s">
        <v>103</v>
      </c>
      <c r="AJ45" s="55">
        <f>IF(AN45=0,L45,0)</f>
        <v>0</v>
      </c>
      <c r="AK45" s="55">
        <f>IF(AN45=12,L45,0)</f>
        <v>0</v>
      </c>
      <c r="AL45" s="55">
        <f>IF(AN45=21,L45,0)</f>
        <v>0</v>
      </c>
      <c r="AN45" s="55">
        <v>21</v>
      </c>
      <c r="AO45" s="55">
        <f>H45*0</f>
        <v>0</v>
      </c>
      <c r="AP45" s="55">
        <f>H45*(1-0)</f>
        <v>0</v>
      </c>
      <c r="AQ45" s="54" t="s">
        <v>157</v>
      </c>
      <c r="AV45" s="55">
        <f>ROUND(AW45+AX45,2)</f>
        <v>0</v>
      </c>
      <c r="AW45" s="55">
        <f>ROUND(G45*AO45,2)</f>
        <v>0</v>
      </c>
      <c r="AX45" s="55">
        <f>ROUND(G45*AP45,2)</f>
        <v>0</v>
      </c>
      <c r="AY45" s="54" t="s">
        <v>253</v>
      </c>
      <c r="AZ45" s="54" t="s">
        <v>238</v>
      </c>
      <c r="BA45" s="75" t="s">
        <v>160</v>
      </c>
      <c r="BC45" s="55">
        <f>AW45+AX45</f>
        <v>0</v>
      </c>
      <c r="BD45" s="55">
        <f>H45/(100-BE45)*100</f>
        <v>0</v>
      </c>
      <c r="BE45" s="55">
        <v>0</v>
      </c>
      <c r="BF45" s="55">
        <f>O45</f>
        <v>0.35239999999999999</v>
      </c>
      <c r="BH45" s="55">
        <f>G45*AO45</f>
        <v>0</v>
      </c>
      <c r="BI45" s="55">
        <f>G45*AP45</f>
        <v>0</v>
      </c>
      <c r="BJ45" s="55">
        <f>G45*H45</f>
        <v>0</v>
      </c>
      <c r="BK45" s="54" t="s">
        <v>161</v>
      </c>
      <c r="BL45" s="55">
        <v>766</v>
      </c>
      <c r="BW45" s="55">
        <f>I45</f>
        <v>21</v>
      </c>
      <c r="BX45" s="16" t="s">
        <v>259</v>
      </c>
    </row>
    <row r="46" spans="1:76" ht="15" customHeight="1" x14ac:dyDescent="0.3">
      <c r="A46" s="94" t="s">
        <v>260</v>
      </c>
      <c r="B46" s="94" t="s">
        <v>103</v>
      </c>
      <c r="C46" s="94" t="s">
        <v>261</v>
      </c>
      <c r="D46" s="199" t="s">
        <v>262</v>
      </c>
      <c r="E46" s="199"/>
      <c r="F46" s="94" t="s">
        <v>212</v>
      </c>
      <c r="G46" s="96">
        <f>'Stavební rozpočet'!G46</f>
        <v>6</v>
      </c>
      <c r="H46" s="97">
        <f>'Stavební rozpočet'!H46</f>
        <v>0</v>
      </c>
      <c r="I46" s="98">
        <v>21</v>
      </c>
      <c r="J46" s="97">
        <f>ROUND(G46*AO46,2)</f>
        <v>0</v>
      </c>
      <c r="K46" s="97">
        <f>ROUND(G46*AP46,2)</f>
        <v>0</v>
      </c>
      <c r="L46" s="97">
        <f>ROUND(G46*H46,2)</f>
        <v>0</v>
      </c>
      <c r="M46" s="97">
        <f>L46*(1+BW46/100)</f>
        <v>0</v>
      </c>
      <c r="N46" s="97">
        <f>'Stavební rozpočet'!N46</f>
        <v>0.1104</v>
      </c>
      <c r="O46" s="97">
        <f>G46*N46</f>
        <v>0.66239999999999999</v>
      </c>
      <c r="P46" s="99" t="s">
        <v>156</v>
      </c>
      <c r="Z46" s="55">
        <f>ROUND(IF(AQ46="5",BJ46,0),2)</f>
        <v>0</v>
      </c>
      <c r="AB46" s="55">
        <f>ROUND(IF(AQ46="1",BH46,0),2)</f>
        <v>0</v>
      </c>
      <c r="AC46" s="55">
        <f>ROUND(IF(AQ46="1",BI46,0),2)</f>
        <v>0</v>
      </c>
      <c r="AD46" s="55">
        <f>ROUND(IF(AQ46="7",BH46,0),2)</f>
        <v>0</v>
      </c>
      <c r="AE46" s="55">
        <f>ROUND(IF(AQ46="7",BI46,0),2)</f>
        <v>0</v>
      </c>
      <c r="AF46" s="55">
        <f>ROUND(IF(AQ46="2",BH46,0),2)</f>
        <v>0</v>
      </c>
      <c r="AG46" s="55">
        <f>ROUND(IF(AQ46="2",BI46,0),2)</f>
        <v>0</v>
      </c>
      <c r="AH46" s="55">
        <f>ROUND(IF(AQ46="0",BJ46,0),2)</f>
        <v>0</v>
      </c>
      <c r="AI46" s="75" t="s">
        <v>103</v>
      </c>
      <c r="AJ46" s="55">
        <f>IF(AN46=0,L46,0)</f>
        <v>0</v>
      </c>
      <c r="AK46" s="55">
        <f>IF(AN46=12,L46,0)</f>
        <v>0</v>
      </c>
      <c r="AL46" s="55">
        <f>IF(AN46=21,L46,0)</f>
        <v>0</v>
      </c>
      <c r="AN46" s="55">
        <v>21</v>
      </c>
      <c r="AO46" s="55">
        <f>H46*0</f>
        <v>0</v>
      </c>
      <c r="AP46" s="55">
        <f>H46*(1-0)</f>
        <v>0</v>
      </c>
      <c r="AQ46" s="54" t="s">
        <v>157</v>
      </c>
      <c r="AV46" s="55">
        <f>ROUND(AW46+AX46,2)</f>
        <v>0</v>
      </c>
      <c r="AW46" s="55">
        <f>ROUND(G46*AO46,2)</f>
        <v>0</v>
      </c>
      <c r="AX46" s="55">
        <f>ROUND(G46*AP46,2)</f>
        <v>0</v>
      </c>
      <c r="AY46" s="54" t="s">
        <v>253</v>
      </c>
      <c r="AZ46" s="54" t="s">
        <v>238</v>
      </c>
      <c r="BA46" s="75" t="s">
        <v>160</v>
      </c>
      <c r="BC46" s="55">
        <f>AW46+AX46</f>
        <v>0</v>
      </c>
      <c r="BD46" s="55">
        <f>H46/(100-BE46)*100</f>
        <v>0</v>
      </c>
      <c r="BE46" s="55">
        <v>0</v>
      </c>
      <c r="BF46" s="55">
        <f>O46</f>
        <v>0.66239999999999999</v>
      </c>
      <c r="BH46" s="55">
        <f>G46*AO46</f>
        <v>0</v>
      </c>
      <c r="BI46" s="55">
        <f>G46*AP46</f>
        <v>0</v>
      </c>
      <c r="BJ46" s="55">
        <f>G46*H46</f>
        <v>0</v>
      </c>
      <c r="BK46" s="54" t="s">
        <v>161</v>
      </c>
      <c r="BL46" s="55">
        <v>766</v>
      </c>
      <c r="BW46" s="55">
        <f>I46</f>
        <v>21</v>
      </c>
      <c r="BX46" s="16" t="s">
        <v>262</v>
      </c>
    </row>
    <row r="47" spans="1:76" ht="15" customHeight="1" x14ac:dyDescent="0.3">
      <c r="A47" s="94" t="s">
        <v>263</v>
      </c>
      <c r="B47" s="94" t="s">
        <v>103</v>
      </c>
      <c r="C47" s="94" t="s">
        <v>264</v>
      </c>
      <c r="D47" s="199" t="s">
        <v>265</v>
      </c>
      <c r="E47" s="199"/>
      <c r="F47" s="94" t="s">
        <v>212</v>
      </c>
      <c r="G47" s="96">
        <f>'Stavební rozpočet'!G47</f>
        <v>4</v>
      </c>
      <c r="H47" s="97">
        <f>'Stavební rozpočet'!H47</f>
        <v>0</v>
      </c>
      <c r="I47" s="98">
        <v>21</v>
      </c>
      <c r="J47" s="97">
        <f>ROUND(G47*AO47,2)</f>
        <v>0</v>
      </c>
      <c r="K47" s="97">
        <f>ROUND(G47*AP47,2)</f>
        <v>0</v>
      </c>
      <c r="L47" s="97">
        <f>ROUND(G47*H47,2)</f>
        <v>0</v>
      </c>
      <c r="M47" s="97">
        <f>L47*(1+BW47/100)</f>
        <v>0</v>
      </c>
      <c r="N47" s="97">
        <f>'Stavební rozpočet'!N47</f>
        <v>0.17399999999999999</v>
      </c>
      <c r="O47" s="97">
        <f>G47*N47</f>
        <v>0.69599999999999995</v>
      </c>
      <c r="P47" s="99" t="s">
        <v>156</v>
      </c>
      <c r="Z47" s="55">
        <f>ROUND(IF(AQ47="5",BJ47,0),2)</f>
        <v>0</v>
      </c>
      <c r="AB47" s="55">
        <f>ROUND(IF(AQ47="1",BH47,0),2)</f>
        <v>0</v>
      </c>
      <c r="AC47" s="55">
        <f>ROUND(IF(AQ47="1",BI47,0),2)</f>
        <v>0</v>
      </c>
      <c r="AD47" s="55">
        <f>ROUND(IF(AQ47="7",BH47,0),2)</f>
        <v>0</v>
      </c>
      <c r="AE47" s="55">
        <f>ROUND(IF(AQ47="7",BI47,0),2)</f>
        <v>0</v>
      </c>
      <c r="AF47" s="55">
        <f>ROUND(IF(AQ47="2",BH47,0),2)</f>
        <v>0</v>
      </c>
      <c r="AG47" s="55">
        <f>ROUND(IF(AQ47="2",BI47,0),2)</f>
        <v>0</v>
      </c>
      <c r="AH47" s="55">
        <f>ROUND(IF(AQ47="0",BJ47,0),2)</f>
        <v>0</v>
      </c>
      <c r="AI47" s="75" t="s">
        <v>103</v>
      </c>
      <c r="AJ47" s="55">
        <f>IF(AN47=0,L47,0)</f>
        <v>0</v>
      </c>
      <c r="AK47" s="55">
        <f>IF(AN47=12,L47,0)</f>
        <v>0</v>
      </c>
      <c r="AL47" s="55">
        <f>IF(AN47=21,L47,0)</f>
        <v>0</v>
      </c>
      <c r="AN47" s="55">
        <v>21</v>
      </c>
      <c r="AO47" s="55">
        <f>H47*0</f>
        <v>0</v>
      </c>
      <c r="AP47" s="55">
        <f>H47*(1-0)</f>
        <v>0</v>
      </c>
      <c r="AQ47" s="54" t="s">
        <v>157</v>
      </c>
      <c r="AV47" s="55">
        <f>ROUND(AW47+AX47,2)</f>
        <v>0</v>
      </c>
      <c r="AW47" s="55">
        <f>ROUND(G47*AO47,2)</f>
        <v>0</v>
      </c>
      <c r="AX47" s="55">
        <f>ROUND(G47*AP47,2)</f>
        <v>0</v>
      </c>
      <c r="AY47" s="54" t="s">
        <v>253</v>
      </c>
      <c r="AZ47" s="54" t="s">
        <v>238</v>
      </c>
      <c r="BA47" s="75" t="s">
        <v>160</v>
      </c>
      <c r="BC47" s="55">
        <f>AW47+AX47</f>
        <v>0</v>
      </c>
      <c r="BD47" s="55">
        <f>H47/(100-BE47)*100</f>
        <v>0</v>
      </c>
      <c r="BE47" s="55">
        <v>0</v>
      </c>
      <c r="BF47" s="55">
        <f>O47</f>
        <v>0.69599999999999995</v>
      </c>
      <c r="BH47" s="55">
        <f>G47*AO47</f>
        <v>0</v>
      </c>
      <c r="BI47" s="55">
        <f>G47*AP47</f>
        <v>0</v>
      </c>
      <c r="BJ47" s="55">
        <f>G47*H47</f>
        <v>0</v>
      </c>
      <c r="BK47" s="54" t="s">
        <v>161</v>
      </c>
      <c r="BL47" s="55">
        <v>766</v>
      </c>
      <c r="BW47" s="55">
        <f>I47</f>
        <v>21</v>
      </c>
      <c r="BX47" s="16" t="s">
        <v>265</v>
      </c>
    </row>
    <row r="48" spans="1:76" ht="15" customHeight="1" x14ac:dyDescent="0.3">
      <c r="A48" s="88"/>
      <c r="B48" s="89" t="s">
        <v>103</v>
      </c>
      <c r="C48" s="89" t="s">
        <v>266</v>
      </c>
      <c r="D48" s="198" t="s">
        <v>267</v>
      </c>
      <c r="E48" s="198"/>
      <c r="F48" s="88" t="s">
        <v>96</v>
      </c>
      <c r="G48" s="90" t="s">
        <v>96</v>
      </c>
      <c r="H48" s="88" t="s">
        <v>96</v>
      </c>
      <c r="I48" s="88" t="s">
        <v>96</v>
      </c>
      <c r="J48" s="91">
        <f>SUM(J49:J50)</f>
        <v>0</v>
      </c>
      <c r="K48" s="91">
        <f>SUM(K49:K50)</f>
        <v>0</v>
      </c>
      <c r="L48" s="91">
        <f>SUM(L49:L50)</f>
        <v>0</v>
      </c>
      <c r="M48" s="91">
        <f>SUM(M49:M50)</f>
        <v>0</v>
      </c>
      <c r="N48" s="92"/>
      <c r="O48" s="91">
        <f>SUM(O49:O50)</f>
        <v>1.0150199999999998</v>
      </c>
      <c r="P48" s="92"/>
      <c r="AI48" s="75" t="s">
        <v>103</v>
      </c>
      <c r="AS48" s="68">
        <f>SUM(AJ49:AJ50)</f>
        <v>0</v>
      </c>
      <c r="AT48" s="68">
        <f>SUM(AK49:AK50)</f>
        <v>0</v>
      </c>
      <c r="AU48" s="68">
        <f>SUM(AL49:AL50)</f>
        <v>0</v>
      </c>
    </row>
    <row r="49" spans="1:76" ht="15" customHeight="1" x14ac:dyDescent="0.3">
      <c r="A49" s="94" t="s">
        <v>268</v>
      </c>
      <c r="B49" s="94" t="s">
        <v>103</v>
      </c>
      <c r="C49" s="94" t="s">
        <v>269</v>
      </c>
      <c r="D49" s="199" t="s">
        <v>270</v>
      </c>
      <c r="E49" s="199"/>
      <c r="F49" s="94" t="s">
        <v>155</v>
      </c>
      <c r="G49" s="96">
        <f>'Stavební rozpočet'!G49</f>
        <v>47.04</v>
      </c>
      <c r="H49" s="97">
        <f>'Stavební rozpočet'!H49</f>
        <v>0</v>
      </c>
      <c r="I49" s="98">
        <v>21</v>
      </c>
      <c r="J49" s="97">
        <f>ROUND(G49*AO49,2)</f>
        <v>0</v>
      </c>
      <c r="K49" s="97">
        <f>ROUND(G49*AP49,2)</f>
        <v>0</v>
      </c>
      <c r="L49" s="97">
        <f>ROUND(G49*H49,2)</f>
        <v>0</v>
      </c>
      <c r="M49" s="97">
        <f>L49*(1+BW49/100)</f>
        <v>0</v>
      </c>
      <c r="N49" s="97">
        <f>'Stavební rozpočet'!N49</f>
        <v>1.7999999999999999E-2</v>
      </c>
      <c r="O49" s="97">
        <f>G49*N49</f>
        <v>0.84671999999999992</v>
      </c>
      <c r="P49" s="99" t="s">
        <v>156</v>
      </c>
      <c r="Z49" s="55">
        <f>ROUND(IF(AQ49="5",BJ49,0),2)</f>
        <v>0</v>
      </c>
      <c r="AB49" s="55">
        <f>ROUND(IF(AQ49="1",BH49,0),2)</f>
        <v>0</v>
      </c>
      <c r="AC49" s="55">
        <f>ROUND(IF(AQ49="1",BI49,0),2)</f>
        <v>0</v>
      </c>
      <c r="AD49" s="55">
        <f>ROUND(IF(AQ49="7",BH49,0),2)</f>
        <v>0</v>
      </c>
      <c r="AE49" s="55">
        <f>ROUND(IF(AQ49="7",BI49,0),2)</f>
        <v>0</v>
      </c>
      <c r="AF49" s="55">
        <f>ROUND(IF(AQ49="2",BH49,0),2)</f>
        <v>0</v>
      </c>
      <c r="AG49" s="55">
        <f>ROUND(IF(AQ49="2",BI49,0),2)</f>
        <v>0</v>
      </c>
      <c r="AH49" s="55">
        <f>ROUND(IF(AQ49="0",BJ49,0),2)</f>
        <v>0</v>
      </c>
      <c r="AI49" s="75" t="s">
        <v>103</v>
      </c>
      <c r="AJ49" s="55">
        <f>IF(AN49=0,L49,0)</f>
        <v>0</v>
      </c>
      <c r="AK49" s="55">
        <f>IF(AN49=12,L49,0)</f>
        <v>0</v>
      </c>
      <c r="AL49" s="55">
        <f>IF(AN49=21,L49,0)</f>
        <v>0</v>
      </c>
      <c r="AN49" s="55">
        <v>21</v>
      </c>
      <c r="AO49" s="55">
        <f>H49*0</f>
        <v>0</v>
      </c>
      <c r="AP49" s="55">
        <f>H49*(1-0)</f>
        <v>0</v>
      </c>
      <c r="AQ49" s="54" t="s">
        <v>157</v>
      </c>
      <c r="AV49" s="55">
        <f>ROUND(AW49+AX49,2)</f>
        <v>0</v>
      </c>
      <c r="AW49" s="55">
        <f>ROUND(G49*AO49,2)</f>
        <v>0</v>
      </c>
      <c r="AX49" s="55">
        <f>ROUND(G49*AP49,2)</f>
        <v>0</v>
      </c>
      <c r="AY49" s="54" t="s">
        <v>271</v>
      </c>
      <c r="AZ49" s="54" t="s">
        <v>238</v>
      </c>
      <c r="BA49" s="75" t="s">
        <v>160</v>
      </c>
      <c r="BC49" s="55">
        <f>AW49+AX49</f>
        <v>0</v>
      </c>
      <c r="BD49" s="55">
        <f>H49/(100-BE49)*100</f>
        <v>0</v>
      </c>
      <c r="BE49" s="55">
        <v>0</v>
      </c>
      <c r="BF49" s="55">
        <f>O49</f>
        <v>0.84671999999999992</v>
      </c>
      <c r="BH49" s="55">
        <f>G49*AO49</f>
        <v>0</v>
      </c>
      <c r="BI49" s="55">
        <f>G49*AP49</f>
        <v>0</v>
      </c>
      <c r="BJ49" s="55">
        <f>G49*H49</f>
        <v>0</v>
      </c>
      <c r="BK49" s="54" t="s">
        <v>161</v>
      </c>
      <c r="BL49" s="55">
        <v>767</v>
      </c>
      <c r="BW49" s="55">
        <f>I49</f>
        <v>21</v>
      </c>
      <c r="BX49" s="16" t="s">
        <v>270</v>
      </c>
    </row>
    <row r="50" spans="1:76" ht="15" customHeight="1" x14ac:dyDescent="0.3">
      <c r="A50" s="94" t="s">
        <v>272</v>
      </c>
      <c r="B50" s="94" t="s">
        <v>103</v>
      </c>
      <c r="C50" s="94" t="s">
        <v>273</v>
      </c>
      <c r="D50" s="199" t="s">
        <v>274</v>
      </c>
      <c r="E50" s="199"/>
      <c r="F50" s="94" t="s">
        <v>155</v>
      </c>
      <c r="G50" s="96">
        <f>'Stavební rozpočet'!G50</f>
        <v>16.5</v>
      </c>
      <c r="H50" s="97">
        <f>'Stavební rozpočet'!H50</f>
        <v>0</v>
      </c>
      <c r="I50" s="98">
        <v>21</v>
      </c>
      <c r="J50" s="97">
        <f>ROUND(G50*AO50,2)</f>
        <v>0</v>
      </c>
      <c r="K50" s="97">
        <f>ROUND(G50*AP50,2)</f>
        <v>0</v>
      </c>
      <c r="L50" s="97">
        <f>ROUND(G50*H50,2)</f>
        <v>0</v>
      </c>
      <c r="M50" s="97">
        <f>L50*(1+BW50/100)</f>
        <v>0</v>
      </c>
      <c r="N50" s="97">
        <f>'Stavební rozpočet'!N50</f>
        <v>1.0200000000000001E-2</v>
      </c>
      <c r="O50" s="97">
        <f>G50*N50</f>
        <v>0.16830000000000001</v>
      </c>
      <c r="P50" s="99" t="s">
        <v>156</v>
      </c>
      <c r="Z50" s="55">
        <f>ROUND(IF(AQ50="5",BJ50,0),2)</f>
        <v>0</v>
      </c>
      <c r="AB50" s="55">
        <f>ROUND(IF(AQ50="1",BH50,0),2)</f>
        <v>0</v>
      </c>
      <c r="AC50" s="55">
        <f>ROUND(IF(AQ50="1",BI50,0),2)</f>
        <v>0</v>
      </c>
      <c r="AD50" s="55">
        <f>ROUND(IF(AQ50="7",BH50,0),2)</f>
        <v>0</v>
      </c>
      <c r="AE50" s="55">
        <f>ROUND(IF(AQ50="7",BI50,0),2)</f>
        <v>0</v>
      </c>
      <c r="AF50" s="55">
        <f>ROUND(IF(AQ50="2",BH50,0),2)</f>
        <v>0</v>
      </c>
      <c r="AG50" s="55">
        <f>ROUND(IF(AQ50="2",BI50,0),2)</f>
        <v>0</v>
      </c>
      <c r="AH50" s="55">
        <f>ROUND(IF(AQ50="0",BJ50,0),2)</f>
        <v>0</v>
      </c>
      <c r="AI50" s="75" t="s">
        <v>103</v>
      </c>
      <c r="AJ50" s="55">
        <f>IF(AN50=0,L50,0)</f>
        <v>0</v>
      </c>
      <c r="AK50" s="55">
        <f>IF(AN50=12,L50,0)</f>
        <v>0</v>
      </c>
      <c r="AL50" s="55">
        <f>IF(AN50=21,L50,0)</f>
        <v>0</v>
      </c>
      <c r="AN50" s="55">
        <v>21</v>
      </c>
      <c r="AO50" s="55">
        <f>H50*0</f>
        <v>0</v>
      </c>
      <c r="AP50" s="55">
        <f>H50*(1-0)</f>
        <v>0</v>
      </c>
      <c r="AQ50" s="54" t="s">
        <v>157</v>
      </c>
      <c r="AV50" s="55">
        <f>ROUND(AW50+AX50,2)</f>
        <v>0</v>
      </c>
      <c r="AW50" s="55">
        <f>ROUND(G50*AO50,2)</f>
        <v>0</v>
      </c>
      <c r="AX50" s="55">
        <f>ROUND(G50*AP50,2)</f>
        <v>0</v>
      </c>
      <c r="AY50" s="54" t="s">
        <v>271</v>
      </c>
      <c r="AZ50" s="54" t="s">
        <v>238</v>
      </c>
      <c r="BA50" s="75" t="s">
        <v>160</v>
      </c>
      <c r="BC50" s="55">
        <f>AW50+AX50</f>
        <v>0</v>
      </c>
      <c r="BD50" s="55">
        <f>H50/(100-BE50)*100</f>
        <v>0</v>
      </c>
      <c r="BE50" s="55">
        <v>0</v>
      </c>
      <c r="BF50" s="55">
        <f>O50</f>
        <v>0.16830000000000001</v>
      </c>
      <c r="BH50" s="55">
        <f>G50*AO50</f>
        <v>0</v>
      </c>
      <c r="BI50" s="55">
        <f>G50*AP50</f>
        <v>0</v>
      </c>
      <c r="BJ50" s="55">
        <f>G50*H50</f>
        <v>0</v>
      </c>
      <c r="BK50" s="54" t="s">
        <v>161</v>
      </c>
      <c r="BL50" s="55">
        <v>767</v>
      </c>
      <c r="BW50" s="55">
        <f>I50</f>
        <v>21</v>
      </c>
      <c r="BX50" s="16" t="s">
        <v>274</v>
      </c>
    </row>
    <row r="51" spans="1:76" ht="15" customHeight="1" x14ac:dyDescent="0.3">
      <c r="A51" s="88"/>
      <c r="B51" s="89" t="s">
        <v>103</v>
      </c>
      <c r="C51" s="89" t="s">
        <v>275</v>
      </c>
      <c r="D51" s="198" t="s">
        <v>276</v>
      </c>
      <c r="E51" s="198"/>
      <c r="F51" s="88" t="s">
        <v>96</v>
      </c>
      <c r="G51" s="90" t="s">
        <v>96</v>
      </c>
      <c r="H51" s="88" t="s">
        <v>96</v>
      </c>
      <c r="I51" s="88" t="s">
        <v>96</v>
      </c>
      <c r="J51" s="91">
        <f>SUM(J52)</f>
        <v>0</v>
      </c>
      <c r="K51" s="91">
        <f>SUM(K52)</f>
        <v>0</v>
      </c>
      <c r="L51" s="91">
        <f>SUM(L52)</f>
        <v>0</v>
      </c>
      <c r="M51" s="91">
        <f>SUM(M52)</f>
        <v>0</v>
      </c>
      <c r="N51" s="92"/>
      <c r="O51" s="91">
        <f>SUM(O52)</f>
        <v>0.26956799999999997</v>
      </c>
      <c r="P51" s="92"/>
      <c r="AI51" s="75" t="s">
        <v>103</v>
      </c>
      <c r="AS51" s="68">
        <f>SUM(AJ52)</f>
        <v>0</v>
      </c>
      <c r="AT51" s="68">
        <f>SUM(AK52)</f>
        <v>0</v>
      </c>
      <c r="AU51" s="68">
        <f>SUM(AL52)</f>
        <v>0</v>
      </c>
    </row>
    <row r="52" spans="1:76" ht="15" customHeight="1" x14ac:dyDescent="0.3">
      <c r="A52" s="94" t="s">
        <v>277</v>
      </c>
      <c r="B52" s="94" t="s">
        <v>103</v>
      </c>
      <c r="C52" s="94" t="s">
        <v>278</v>
      </c>
      <c r="D52" s="199" t="s">
        <v>279</v>
      </c>
      <c r="E52" s="199"/>
      <c r="F52" s="94" t="s">
        <v>155</v>
      </c>
      <c r="G52" s="96">
        <f>'Stavební rozpočet'!G52</f>
        <v>249.6</v>
      </c>
      <c r="H52" s="97">
        <f>'Stavební rozpočet'!H52</f>
        <v>0</v>
      </c>
      <c r="I52" s="98">
        <v>21</v>
      </c>
      <c r="J52" s="97">
        <f>ROUND(G52*AO52,2)</f>
        <v>0</v>
      </c>
      <c r="K52" s="97">
        <f>ROUND(G52*AP52,2)</f>
        <v>0</v>
      </c>
      <c r="L52" s="97">
        <f>ROUND(G52*H52,2)</f>
        <v>0</v>
      </c>
      <c r="M52" s="97">
        <f>L52*(1+BW52/100)</f>
        <v>0</v>
      </c>
      <c r="N52" s="97">
        <f>'Stavební rozpočet'!N52</f>
        <v>1.08E-3</v>
      </c>
      <c r="O52" s="97">
        <f>G52*N52</f>
        <v>0.26956799999999997</v>
      </c>
      <c r="P52" s="99" t="s">
        <v>156</v>
      </c>
      <c r="Z52" s="55">
        <f>ROUND(IF(AQ52="5",BJ52,0),2)</f>
        <v>0</v>
      </c>
      <c r="AB52" s="55">
        <f>ROUND(IF(AQ52="1",BH52,0),2)</f>
        <v>0</v>
      </c>
      <c r="AC52" s="55">
        <f>ROUND(IF(AQ52="1",BI52,0),2)</f>
        <v>0</v>
      </c>
      <c r="AD52" s="55">
        <f>ROUND(IF(AQ52="7",BH52,0),2)</f>
        <v>0</v>
      </c>
      <c r="AE52" s="55">
        <f>ROUND(IF(AQ52="7",BI52,0),2)</f>
        <v>0</v>
      </c>
      <c r="AF52" s="55">
        <f>ROUND(IF(AQ52="2",BH52,0),2)</f>
        <v>0</v>
      </c>
      <c r="AG52" s="55">
        <f>ROUND(IF(AQ52="2",BI52,0),2)</f>
        <v>0</v>
      </c>
      <c r="AH52" s="55">
        <f>ROUND(IF(AQ52="0",BJ52,0),2)</f>
        <v>0</v>
      </c>
      <c r="AI52" s="75" t="s">
        <v>103</v>
      </c>
      <c r="AJ52" s="55">
        <f>IF(AN52=0,L52,0)</f>
        <v>0</v>
      </c>
      <c r="AK52" s="55">
        <f>IF(AN52=12,L52,0)</f>
        <v>0</v>
      </c>
      <c r="AL52" s="55">
        <f>IF(AN52=21,L52,0)</f>
        <v>0</v>
      </c>
      <c r="AN52" s="55">
        <v>21</v>
      </c>
      <c r="AO52" s="55">
        <f>H52*0</f>
        <v>0</v>
      </c>
      <c r="AP52" s="55">
        <f>H52*(1-0)</f>
        <v>0</v>
      </c>
      <c r="AQ52" s="54" t="s">
        <v>157</v>
      </c>
      <c r="AV52" s="55">
        <f>ROUND(AW52+AX52,2)</f>
        <v>0</v>
      </c>
      <c r="AW52" s="55">
        <f>ROUND(G52*AO52,2)</f>
        <v>0</v>
      </c>
      <c r="AX52" s="55">
        <f>ROUND(G52*AP52,2)</f>
        <v>0</v>
      </c>
      <c r="AY52" s="54" t="s">
        <v>280</v>
      </c>
      <c r="AZ52" s="54" t="s">
        <v>281</v>
      </c>
      <c r="BA52" s="75" t="s">
        <v>160</v>
      </c>
      <c r="BC52" s="55">
        <f>AW52+AX52</f>
        <v>0</v>
      </c>
      <c r="BD52" s="55">
        <f>H52/(100-BE52)*100</f>
        <v>0</v>
      </c>
      <c r="BE52" s="55">
        <v>0</v>
      </c>
      <c r="BF52" s="55">
        <f>O52</f>
        <v>0.26956799999999997</v>
      </c>
      <c r="BH52" s="55">
        <f>G52*AO52</f>
        <v>0</v>
      </c>
      <c r="BI52" s="55">
        <f>G52*AP52</f>
        <v>0</v>
      </c>
      <c r="BJ52" s="55">
        <f>G52*H52</f>
        <v>0</v>
      </c>
      <c r="BK52" s="54" t="s">
        <v>161</v>
      </c>
      <c r="BL52" s="55">
        <v>776</v>
      </c>
      <c r="BW52" s="55">
        <f>I52</f>
        <v>21</v>
      </c>
      <c r="BX52" s="16" t="s">
        <v>279</v>
      </c>
    </row>
    <row r="53" spans="1:76" ht="15" customHeight="1" x14ac:dyDescent="0.3">
      <c r="A53" s="88"/>
      <c r="B53" s="89" t="s">
        <v>103</v>
      </c>
      <c r="C53" s="89" t="s">
        <v>282</v>
      </c>
      <c r="D53" s="198" t="s">
        <v>283</v>
      </c>
      <c r="E53" s="198"/>
      <c r="F53" s="88" t="s">
        <v>96</v>
      </c>
      <c r="G53" s="90" t="s">
        <v>96</v>
      </c>
      <c r="H53" s="88" t="s">
        <v>96</v>
      </c>
      <c r="I53" s="88" t="s">
        <v>96</v>
      </c>
      <c r="J53" s="91">
        <f>SUM(J54:J61)</f>
        <v>0</v>
      </c>
      <c r="K53" s="91">
        <f>SUM(K54:K61)</f>
        <v>0</v>
      </c>
      <c r="L53" s="91">
        <f>SUM(L54:L61)</f>
        <v>0</v>
      </c>
      <c r="M53" s="91">
        <f>SUM(M54:M61)</f>
        <v>0</v>
      </c>
      <c r="N53" s="92"/>
      <c r="O53" s="91">
        <f>SUM(O54:O61)</f>
        <v>0</v>
      </c>
      <c r="P53" s="92"/>
      <c r="AI53" s="75" t="s">
        <v>103</v>
      </c>
      <c r="AS53" s="68">
        <f>SUM(AJ54:AJ61)</f>
        <v>0</v>
      </c>
      <c r="AT53" s="68">
        <f>SUM(AK54:AK61)</f>
        <v>0</v>
      </c>
      <c r="AU53" s="68">
        <f>SUM(AL54:AL61)</f>
        <v>0</v>
      </c>
    </row>
    <row r="54" spans="1:76" ht="24" customHeight="1" x14ac:dyDescent="0.3">
      <c r="A54" s="94" t="s">
        <v>284</v>
      </c>
      <c r="B54" s="94" t="s">
        <v>103</v>
      </c>
      <c r="C54" s="94" t="s">
        <v>285</v>
      </c>
      <c r="D54" s="199" t="s">
        <v>286</v>
      </c>
      <c r="E54" s="199"/>
      <c r="F54" s="94" t="s">
        <v>287</v>
      </c>
      <c r="G54" s="96">
        <f>'Stavební rozpočet'!G54</f>
        <v>30</v>
      </c>
      <c r="H54" s="97">
        <f>'Stavební rozpočet'!H54</f>
        <v>0</v>
      </c>
      <c r="I54" s="98">
        <v>21</v>
      </c>
      <c r="J54" s="97">
        <f t="shared" ref="J54:J61" si="28">ROUND(G54*AO54,2)</f>
        <v>0</v>
      </c>
      <c r="K54" s="97">
        <f t="shared" ref="K54:K61" si="29">ROUND(G54*AP54,2)</f>
        <v>0</v>
      </c>
      <c r="L54" s="97">
        <f t="shared" ref="L54:L61" si="30">ROUND(G54*H54,2)</f>
        <v>0</v>
      </c>
      <c r="M54" s="97">
        <f t="shared" ref="M54:M61" si="31">L54*(1+BW54/100)</f>
        <v>0</v>
      </c>
      <c r="N54" s="97">
        <f>'Stavební rozpočet'!N54</f>
        <v>0</v>
      </c>
      <c r="O54" s="97">
        <f t="shared" ref="O54:O61" si="32">G54*N54</f>
        <v>0</v>
      </c>
      <c r="P54" s="99" t="s">
        <v>156</v>
      </c>
      <c r="Z54" s="55">
        <f t="shared" ref="Z54:Z61" si="33">ROUND(IF(AQ54="5",BJ54,0),2)</f>
        <v>0</v>
      </c>
      <c r="AB54" s="55">
        <f t="shared" ref="AB54:AB61" si="34">ROUND(IF(AQ54="1",BH54,0),2)</f>
        <v>0</v>
      </c>
      <c r="AC54" s="55">
        <f t="shared" ref="AC54:AC61" si="35">ROUND(IF(AQ54="1",BI54,0),2)</f>
        <v>0</v>
      </c>
      <c r="AD54" s="55">
        <f t="shared" ref="AD54:AD61" si="36">ROUND(IF(AQ54="7",BH54,0),2)</f>
        <v>0</v>
      </c>
      <c r="AE54" s="55">
        <f t="shared" ref="AE54:AE61" si="37">ROUND(IF(AQ54="7",BI54,0),2)</f>
        <v>0</v>
      </c>
      <c r="AF54" s="55">
        <f t="shared" ref="AF54:AF61" si="38">ROUND(IF(AQ54="2",BH54,0),2)</f>
        <v>0</v>
      </c>
      <c r="AG54" s="55">
        <f t="shared" ref="AG54:AG61" si="39">ROUND(IF(AQ54="2",BI54,0),2)</f>
        <v>0</v>
      </c>
      <c r="AH54" s="55">
        <f t="shared" ref="AH54:AH61" si="40">ROUND(IF(AQ54="0",BJ54,0),2)</f>
        <v>0</v>
      </c>
      <c r="AI54" s="75" t="s">
        <v>103</v>
      </c>
      <c r="AJ54" s="55">
        <f t="shared" ref="AJ54:AJ61" si="41">IF(AN54=0,L54,0)</f>
        <v>0</v>
      </c>
      <c r="AK54" s="55">
        <f t="shared" ref="AK54:AK61" si="42">IF(AN54=12,L54,0)</f>
        <v>0</v>
      </c>
      <c r="AL54" s="55">
        <f t="shared" ref="AL54:AL61" si="43">IF(AN54=21,L54,0)</f>
        <v>0</v>
      </c>
      <c r="AN54" s="55">
        <v>21</v>
      </c>
      <c r="AO54" s="55">
        <f t="shared" ref="AO54:AO61" si="44">H54*0</f>
        <v>0</v>
      </c>
      <c r="AP54" s="55">
        <f t="shared" ref="AP54:AP61" si="45">H54*(1-0)</f>
        <v>0</v>
      </c>
      <c r="AQ54" s="54" t="s">
        <v>152</v>
      </c>
      <c r="AV54" s="55">
        <f t="shared" ref="AV54:AV61" si="46">ROUND(AW54+AX54,2)</f>
        <v>0</v>
      </c>
      <c r="AW54" s="55">
        <f t="shared" ref="AW54:AW61" si="47">ROUND(G54*AO54,2)</f>
        <v>0</v>
      </c>
      <c r="AX54" s="55">
        <f t="shared" ref="AX54:AX61" si="48">ROUND(G54*AP54,2)</f>
        <v>0</v>
      </c>
      <c r="AY54" s="54" t="s">
        <v>288</v>
      </c>
      <c r="AZ54" s="54" t="s">
        <v>289</v>
      </c>
      <c r="BA54" s="75" t="s">
        <v>160</v>
      </c>
      <c r="BC54" s="55">
        <f t="shared" ref="BC54:BC61" si="49">AW54+AX54</f>
        <v>0</v>
      </c>
      <c r="BD54" s="55">
        <f t="shared" ref="BD54:BD61" si="50">H54/(100-BE54)*100</f>
        <v>0</v>
      </c>
      <c r="BE54" s="55">
        <v>0</v>
      </c>
      <c r="BF54" s="55">
        <f t="shared" ref="BF54:BF61" si="51">O54</f>
        <v>0</v>
      </c>
      <c r="BH54" s="55">
        <f t="shared" ref="BH54:BH61" si="52">G54*AO54</f>
        <v>0</v>
      </c>
      <c r="BI54" s="55">
        <f t="shared" ref="BI54:BI61" si="53">G54*AP54</f>
        <v>0</v>
      </c>
      <c r="BJ54" s="55">
        <f t="shared" ref="BJ54:BJ61" si="54">G54*H54</f>
        <v>0</v>
      </c>
      <c r="BK54" s="54" t="s">
        <v>161</v>
      </c>
      <c r="BL54" s="55">
        <v>90</v>
      </c>
      <c r="BW54" s="55">
        <f t="shared" ref="BW54:BW61" si="55">I54</f>
        <v>21</v>
      </c>
      <c r="BX54" s="16" t="s">
        <v>286</v>
      </c>
    </row>
    <row r="55" spans="1:76" ht="35.549999999999997" customHeight="1" x14ac:dyDescent="0.3">
      <c r="A55" s="94" t="s">
        <v>290</v>
      </c>
      <c r="B55" s="94" t="s">
        <v>103</v>
      </c>
      <c r="C55" s="94" t="s">
        <v>285</v>
      </c>
      <c r="D55" s="199" t="s">
        <v>291</v>
      </c>
      <c r="E55" s="199"/>
      <c r="F55" s="94" t="s">
        <v>287</v>
      </c>
      <c r="G55" s="96">
        <f>'Stavební rozpočet'!G55</f>
        <v>60</v>
      </c>
      <c r="H55" s="97">
        <f>'Stavební rozpočet'!H55</f>
        <v>0</v>
      </c>
      <c r="I55" s="98">
        <v>21</v>
      </c>
      <c r="J55" s="97">
        <f t="shared" si="28"/>
        <v>0</v>
      </c>
      <c r="K55" s="97">
        <f t="shared" si="29"/>
        <v>0</v>
      </c>
      <c r="L55" s="97">
        <f t="shared" si="30"/>
        <v>0</v>
      </c>
      <c r="M55" s="97">
        <f t="shared" si="31"/>
        <v>0</v>
      </c>
      <c r="N55" s="97">
        <f>'Stavební rozpočet'!N55</f>
        <v>0</v>
      </c>
      <c r="O55" s="97">
        <f t="shared" si="32"/>
        <v>0</v>
      </c>
      <c r="P55" s="99" t="s">
        <v>156</v>
      </c>
      <c r="Z55" s="55">
        <f t="shared" si="33"/>
        <v>0</v>
      </c>
      <c r="AB55" s="55">
        <f t="shared" si="34"/>
        <v>0</v>
      </c>
      <c r="AC55" s="55">
        <f t="shared" si="35"/>
        <v>0</v>
      </c>
      <c r="AD55" s="55">
        <f t="shared" si="36"/>
        <v>0</v>
      </c>
      <c r="AE55" s="55">
        <f t="shared" si="37"/>
        <v>0</v>
      </c>
      <c r="AF55" s="55">
        <f t="shared" si="38"/>
        <v>0</v>
      </c>
      <c r="AG55" s="55">
        <f t="shared" si="39"/>
        <v>0</v>
      </c>
      <c r="AH55" s="55">
        <f t="shared" si="40"/>
        <v>0</v>
      </c>
      <c r="AI55" s="75" t="s">
        <v>103</v>
      </c>
      <c r="AJ55" s="55">
        <f t="shared" si="41"/>
        <v>0</v>
      </c>
      <c r="AK55" s="55">
        <f t="shared" si="42"/>
        <v>0</v>
      </c>
      <c r="AL55" s="55">
        <f t="shared" si="43"/>
        <v>0</v>
      </c>
      <c r="AN55" s="55">
        <v>21</v>
      </c>
      <c r="AO55" s="55">
        <f t="shared" si="44"/>
        <v>0</v>
      </c>
      <c r="AP55" s="55">
        <f t="shared" si="45"/>
        <v>0</v>
      </c>
      <c r="AQ55" s="54" t="s">
        <v>152</v>
      </c>
      <c r="AV55" s="55">
        <f t="shared" si="46"/>
        <v>0</v>
      </c>
      <c r="AW55" s="55">
        <f t="shared" si="47"/>
        <v>0</v>
      </c>
      <c r="AX55" s="55">
        <f t="shared" si="48"/>
        <v>0</v>
      </c>
      <c r="AY55" s="54" t="s">
        <v>288</v>
      </c>
      <c r="AZ55" s="54" t="s">
        <v>289</v>
      </c>
      <c r="BA55" s="75" t="s">
        <v>160</v>
      </c>
      <c r="BC55" s="55">
        <f t="shared" si="49"/>
        <v>0</v>
      </c>
      <c r="BD55" s="55">
        <f t="shared" si="50"/>
        <v>0</v>
      </c>
      <c r="BE55" s="55">
        <v>0</v>
      </c>
      <c r="BF55" s="55">
        <f t="shared" si="51"/>
        <v>0</v>
      </c>
      <c r="BH55" s="55">
        <f t="shared" si="52"/>
        <v>0</v>
      </c>
      <c r="BI55" s="55">
        <f t="shared" si="53"/>
        <v>0</v>
      </c>
      <c r="BJ55" s="55">
        <f t="shared" si="54"/>
        <v>0</v>
      </c>
      <c r="BK55" s="54" t="s">
        <v>161</v>
      </c>
      <c r="BL55" s="55">
        <v>90</v>
      </c>
      <c r="BW55" s="55">
        <f t="shared" si="55"/>
        <v>21</v>
      </c>
      <c r="BX55" s="16" t="s">
        <v>291</v>
      </c>
    </row>
    <row r="56" spans="1:76" ht="15" customHeight="1" x14ac:dyDescent="0.3">
      <c r="A56" s="94" t="s">
        <v>292</v>
      </c>
      <c r="B56" s="94" t="s">
        <v>103</v>
      </c>
      <c r="C56" s="94" t="s">
        <v>285</v>
      </c>
      <c r="D56" s="199" t="s">
        <v>293</v>
      </c>
      <c r="E56" s="199"/>
      <c r="F56" s="94" t="s">
        <v>287</v>
      </c>
      <c r="G56" s="96">
        <f>'Stavební rozpočet'!G56</f>
        <v>30</v>
      </c>
      <c r="H56" s="97">
        <f>'Stavební rozpočet'!H56</f>
        <v>0</v>
      </c>
      <c r="I56" s="98">
        <v>21</v>
      </c>
      <c r="J56" s="97">
        <f t="shared" si="28"/>
        <v>0</v>
      </c>
      <c r="K56" s="97">
        <f t="shared" si="29"/>
        <v>0</v>
      </c>
      <c r="L56" s="97">
        <f t="shared" si="30"/>
        <v>0</v>
      </c>
      <c r="M56" s="97">
        <f t="shared" si="31"/>
        <v>0</v>
      </c>
      <c r="N56" s="97">
        <f>'Stavební rozpočet'!N56</f>
        <v>0</v>
      </c>
      <c r="O56" s="97">
        <f t="shared" si="32"/>
        <v>0</v>
      </c>
      <c r="P56" s="99" t="s">
        <v>156</v>
      </c>
      <c r="Z56" s="55">
        <f t="shared" si="33"/>
        <v>0</v>
      </c>
      <c r="AB56" s="55">
        <f t="shared" si="34"/>
        <v>0</v>
      </c>
      <c r="AC56" s="55">
        <f t="shared" si="35"/>
        <v>0</v>
      </c>
      <c r="AD56" s="55">
        <f t="shared" si="36"/>
        <v>0</v>
      </c>
      <c r="AE56" s="55">
        <f t="shared" si="37"/>
        <v>0</v>
      </c>
      <c r="AF56" s="55">
        <f t="shared" si="38"/>
        <v>0</v>
      </c>
      <c r="AG56" s="55">
        <f t="shared" si="39"/>
        <v>0</v>
      </c>
      <c r="AH56" s="55">
        <f t="shared" si="40"/>
        <v>0</v>
      </c>
      <c r="AI56" s="75" t="s">
        <v>103</v>
      </c>
      <c r="AJ56" s="55">
        <f t="shared" si="41"/>
        <v>0</v>
      </c>
      <c r="AK56" s="55">
        <f t="shared" si="42"/>
        <v>0</v>
      </c>
      <c r="AL56" s="55">
        <f t="shared" si="43"/>
        <v>0</v>
      </c>
      <c r="AN56" s="55">
        <v>21</v>
      </c>
      <c r="AO56" s="55">
        <f t="shared" si="44"/>
        <v>0</v>
      </c>
      <c r="AP56" s="55">
        <f t="shared" si="45"/>
        <v>0</v>
      </c>
      <c r="AQ56" s="54" t="s">
        <v>152</v>
      </c>
      <c r="AV56" s="55">
        <f t="shared" si="46"/>
        <v>0</v>
      </c>
      <c r="AW56" s="55">
        <f t="shared" si="47"/>
        <v>0</v>
      </c>
      <c r="AX56" s="55">
        <f t="shared" si="48"/>
        <v>0</v>
      </c>
      <c r="AY56" s="54" t="s">
        <v>288</v>
      </c>
      <c r="AZ56" s="54" t="s">
        <v>289</v>
      </c>
      <c r="BA56" s="75" t="s">
        <v>160</v>
      </c>
      <c r="BC56" s="55">
        <f t="shared" si="49"/>
        <v>0</v>
      </c>
      <c r="BD56" s="55">
        <f t="shared" si="50"/>
        <v>0</v>
      </c>
      <c r="BE56" s="55">
        <v>0</v>
      </c>
      <c r="BF56" s="55">
        <f t="shared" si="51"/>
        <v>0</v>
      </c>
      <c r="BH56" s="55">
        <f t="shared" si="52"/>
        <v>0</v>
      </c>
      <c r="BI56" s="55">
        <f t="shared" si="53"/>
        <v>0</v>
      </c>
      <c r="BJ56" s="55">
        <f t="shared" si="54"/>
        <v>0</v>
      </c>
      <c r="BK56" s="54" t="s">
        <v>161</v>
      </c>
      <c r="BL56" s="55">
        <v>90</v>
      </c>
      <c r="BW56" s="55">
        <f t="shared" si="55"/>
        <v>21</v>
      </c>
      <c r="BX56" s="16" t="s">
        <v>293</v>
      </c>
    </row>
    <row r="57" spans="1:76" ht="15" customHeight="1" x14ac:dyDescent="0.3">
      <c r="A57" s="94" t="s">
        <v>294</v>
      </c>
      <c r="B57" s="94" t="s">
        <v>103</v>
      </c>
      <c r="C57" s="94" t="s">
        <v>285</v>
      </c>
      <c r="D57" s="199" t="s">
        <v>295</v>
      </c>
      <c r="E57" s="199"/>
      <c r="F57" s="94" t="s">
        <v>287</v>
      </c>
      <c r="G57" s="96">
        <f>'Stavební rozpočet'!G57</f>
        <v>30</v>
      </c>
      <c r="H57" s="97">
        <f>'Stavební rozpočet'!H57</f>
        <v>0</v>
      </c>
      <c r="I57" s="98">
        <v>21</v>
      </c>
      <c r="J57" s="97">
        <f t="shared" si="28"/>
        <v>0</v>
      </c>
      <c r="K57" s="97">
        <f t="shared" si="29"/>
        <v>0</v>
      </c>
      <c r="L57" s="97">
        <f t="shared" si="30"/>
        <v>0</v>
      </c>
      <c r="M57" s="97">
        <f t="shared" si="31"/>
        <v>0</v>
      </c>
      <c r="N57" s="97">
        <f>'Stavební rozpočet'!N57</f>
        <v>0</v>
      </c>
      <c r="O57" s="97">
        <f t="shared" si="32"/>
        <v>0</v>
      </c>
      <c r="P57" s="99" t="s">
        <v>156</v>
      </c>
      <c r="Z57" s="55">
        <f t="shared" si="33"/>
        <v>0</v>
      </c>
      <c r="AB57" s="55">
        <f t="shared" si="34"/>
        <v>0</v>
      </c>
      <c r="AC57" s="55">
        <f t="shared" si="35"/>
        <v>0</v>
      </c>
      <c r="AD57" s="55">
        <f t="shared" si="36"/>
        <v>0</v>
      </c>
      <c r="AE57" s="55">
        <f t="shared" si="37"/>
        <v>0</v>
      </c>
      <c r="AF57" s="55">
        <f t="shared" si="38"/>
        <v>0</v>
      </c>
      <c r="AG57" s="55">
        <f t="shared" si="39"/>
        <v>0</v>
      </c>
      <c r="AH57" s="55">
        <f t="shared" si="40"/>
        <v>0</v>
      </c>
      <c r="AI57" s="75" t="s">
        <v>103</v>
      </c>
      <c r="AJ57" s="55">
        <f t="shared" si="41"/>
        <v>0</v>
      </c>
      <c r="AK57" s="55">
        <f t="shared" si="42"/>
        <v>0</v>
      </c>
      <c r="AL57" s="55">
        <f t="shared" si="43"/>
        <v>0</v>
      </c>
      <c r="AN57" s="55">
        <v>21</v>
      </c>
      <c r="AO57" s="55">
        <f t="shared" si="44"/>
        <v>0</v>
      </c>
      <c r="AP57" s="55">
        <f t="shared" si="45"/>
        <v>0</v>
      </c>
      <c r="AQ57" s="54" t="s">
        <v>152</v>
      </c>
      <c r="AV57" s="55">
        <f t="shared" si="46"/>
        <v>0</v>
      </c>
      <c r="AW57" s="55">
        <f t="shared" si="47"/>
        <v>0</v>
      </c>
      <c r="AX57" s="55">
        <f t="shared" si="48"/>
        <v>0</v>
      </c>
      <c r="AY57" s="54" t="s">
        <v>288</v>
      </c>
      <c r="AZ57" s="54" t="s">
        <v>289</v>
      </c>
      <c r="BA57" s="75" t="s">
        <v>160</v>
      </c>
      <c r="BC57" s="55">
        <f t="shared" si="49"/>
        <v>0</v>
      </c>
      <c r="BD57" s="55">
        <f t="shared" si="50"/>
        <v>0</v>
      </c>
      <c r="BE57" s="55">
        <v>0</v>
      </c>
      <c r="BF57" s="55">
        <f t="shared" si="51"/>
        <v>0</v>
      </c>
      <c r="BH57" s="55">
        <f t="shared" si="52"/>
        <v>0</v>
      </c>
      <c r="BI57" s="55">
        <f t="shared" si="53"/>
        <v>0</v>
      </c>
      <c r="BJ57" s="55">
        <f t="shared" si="54"/>
        <v>0</v>
      </c>
      <c r="BK57" s="54" t="s">
        <v>161</v>
      </c>
      <c r="BL57" s="55">
        <v>90</v>
      </c>
      <c r="BW57" s="55">
        <f t="shared" si="55"/>
        <v>21</v>
      </c>
      <c r="BX57" s="16" t="s">
        <v>295</v>
      </c>
    </row>
    <row r="58" spans="1:76" ht="23.85" customHeight="1" x14ac:dyDescent="0.3">
      <c r="A58" s="94" t="s">
        <v>296</v>
      </c>
      <c r="B58" s="94" t="s">
        <v>103</v>
      </c>
      <c r="C58" s="94" t="s">
        <v>297</v>
      </c>
      <c r="D58" s="199" t="s">
        <v>298</v>
      </c>
      <c r="E58" s="199"/>
      <c r="F58" s="94" t="s">
        <v>287</v>
      </c>
      <c r="G58" s="96">
        <f>'Stavební rozpočet'!G58</f>
        <v>55</v>
      </c>
      <c r="H58" s="97">
        <f>'Stavební rozpočet'!H58</f>
        <v>0</v>
      </c>
      <c r="I58" s="98">
        <v>21</v>
      </c>
      <c r="J58" s="97">
        <f t="shared" si="28"/>
        <v>0</v>
      </c>
      <c r="K58" s="97">
        <f t="shared" si="29"/>
        <v>0</v>
      </c>
      <c r="L58" s="97">
        <f t="shared" si="30"/>
        <v>0</v>
      </c>
      <c r="M58" s="97">
        <f t="shared" si="31"/>
        <v>0</v>
      </c>
      <c r="N58" s="97">
        <f>'Stavební rozpočet'!N58</f>
        <v>0</v>
      </c>
      <c r="O58" s="97">
        <f t="shared" si="32"/>
        <v>0</v>
      </c>
      <c r="P58" s="99" t="s">
        <v>156</v>
      </c>
      <c r="Z58" s="55">
        <f t="shared" si="33"/>
        <v>0</v>
      </c>
      <c r="AB58" s="55">
        <f t="shared" si="34"/>
        <v>0</v>
      </c>
      <c r="AC58" s="55">
        <f t="shared" si="35"/>
        <v>0</v>
      </c>
      <c r="AD58" s="55">
        <f t="shared" si="36"/>
        <v>0</v>
      </c>
      <c r="AE58" s="55">
        <f t="shared" si="37"/>
        <v>0</v>
      </c>
      <c r="AF58" s="55">
        <f t="shared" si="38"/>
        <v>0</v>
      </c>
      <c r="AG58" s="55">
        <f t="shared" si="39"/>
        <v>0</v>
      </c>
      <c r="AH58" s="55">
        <f t="shared" si="40"/>
        <v>0</v>
      </c>
      <c r="AI58" s="75" t="s">
        <v>103</v>
      </c>
      <c r="AJ58" s="55">
        <f t="shared" si="41"/>
        <v>0</v>
      </c>
      <c r="AK58" s="55">
        <f t="shared" si="42"/>
        <v>0</v>
      </c>
      <c r="AL58" s="55">
        <f t="shared" si="43"/>
        <v>0</v>
      </c>
      <c r="AN58" s="55">
        <v>21</v>
      </c>
      <c r="AO58" s="55">
        <f t="shared" si="44"/>
        <v>0</v>
      </c>
      <c r="AP58" s="55">
        <f t="shared" si="45"/>
        <v>0</v>
      </c>
      <c r="AQ58" s="54" t="s">
        <v>152</v>
      </c>
      <c r="AV58" s="55">
        <f t="shared" si="46"/>
        <v>0</v>
      </c>
      <c r="AW58" s="55">
        <f t="shared" si="47"/>
        <v>0</v>
      </c>
      <c r="AX58" s="55">
        <f t="shared" si="48"/>
        <v>0</v>
      </c>
      <c r="AY58" s="54" t="s">
        <v>288</v>
      </c>
      <c r="AZ58" s="54" t="s">
        <v>289</v>
      </c>
      <c r="BA58" s="75" t="s">
        <v>160</v>
      </c>
      <c r="BC58" s="55">
        <f t="shared" si="49"/>
        <v>0</v>
      </c>
      <c r="BD58" s="55">
        <f t="shared" si="50"/>
        <v>0</v>
      </c>
      <c r="BE58" s="55">
        <v>0</v>
      </c>
      <c r="BF58" s="55">
        <f t="shared" si="51"/>
        <v>0</v>
      </c>
      <c r="BH58" s="55">
        <f t="shared" si="52"/>
        <v>0</v>
      </c>
      <c r="BI58" s="55">
        <f t="shared" si="53"/>
        <v>0</v>
      </c>
      <c r="BJ58" s="55">
        <f t="shared" si="54"/>
        <v>0</v>
      </c>
      <c r="BK58" s="54" t="s">
        <v>161</v>
      </c>
      <c r="BL58" s="55">
        <v>90</v>
      </c>
      <c r="BW58" s="55">
        <f t="shared" si="55"/>
        <v>21</v>
      </c>
      <c r="BX58" s="16" t="s">
        <v>298</v>
      </c>
    </row>
    <row r="59" spans="1:76" ht="35.549999999999997" customHeight="1" x14ac:dyDescent="0.3">
      <c r="A59" s="94" t="s">
        <v>299</v>
      </c>
      <c r="B59" s="94" t="s">
        <v>103</v>
      </c>
      <c r="C59" s="94" t="s">
        <v>297</v>
      </c>
      <c r="D59" s="199" t="s">
        <v>300</v>
      </c>
      <c r="E59" s="199"/>
      <c r="F59" s="94" t="s">
        <v>287</v>
      </c>
      <c r="G59" s="96">
        <f>'Stavební rozpočet'!G59</f>
        <v>40</v>
      </c>
      <c r="H59" s="97">
        <f>'Stavební rozpočet'!H59</f>
        <v>0</v>
      </c>
      <c r="I59" s="98">
        <v>21</v>
      </c>
      <c r="J59" s="97">
        <f t="shared" si="28"/>
        <v>0</v>
      </c>
      <c r="K59" s="97">
        <f t="shared" si="29"/>
        <v>0</v>
      </c>
      <c r="L59" s="97">
        <f t="shared" si="30"/>
        <v>0</v>
      </c>
      <c r="M59" s="97">
        <f t="shared" si="31"/>
        <v>0</v>
      </c>
      <c r="N59" s="97">
        <f>'Stavební rozpočet'!N59</f>
        <v>0</v>
      </c>
      <c r="O59" s="97">
        <f t="shared" si="32"/>
        <v>0</v>
      </c>
      <c r="P59" s="99" t="s">
        <v>156</v>
      </c>
      <c r="Z59" s="55">
        <f t="shared" si="33"/>
        <v>0</v>
      </c>
      <c r="AB59" s="55">
        <f t="shared" si="34"/>
        <v>0</v>
      </c>
      <c r="AC59" s="55">
        <f t="shared" si="35"/>
        <v>0</v>
      </c>
      <c r="AD59" s="55">
        <f t="shared" si="36"/>
        <v>0</v>
      </c>
      <c r="AE59" s="55">
        <f t="shared" si="37"/>
        <v>0</v>
      </c>
      <c r="AF59" s="55">
        <f t="shared" si="38"/>
        <v>0</v>
      </c>
      <c r="AG59" s="55">
        <f t="shared" si="39"/>
        <v>0</v>
      </c>
      <c r="AH59" s="55">
        <f t="shared" si="40"/>
        <v>0</v>
      </c>
      <c r="AI59" s="75" t="s">
        <v>103</v>
      </c>
      <c r="AJ59" s="55">
        <f t="shared" si="41"/>
        <v>0</v>
      </c>
      <c r="AK59" s="55">
        <f t="shared" si="42"/>
        <v>0</v>
      </c>
      <c r="AL59" s="55">
        <f t="shared" si="43"/>
        <v>0</v>
      </c>
      <c r="AN59" s="55">
        <v>21</v>
      </c>
      <c r="AO59" s="55">
        <f t="shared" si="44"/>
        <v>0</v>
      </c>
      <c r="AP59" s="55">
        <f t="shared" si="45"/>
        <v>0</v>
      </c>
      <c r="AQ59" s="54" t="s">
        <v>152</v>
      </c>
      <c r="AV59" s="55">
        <f t="shared" si="46"/>
        <v>0</v>
      </c>
      <c r="AW59" s="55">
        <f t="shared" si="47"/>
        <v>0</v>
      </c>
      <c r="AX59" s="55">
        <f t="shared" si="48"/>
        <v>0</v>
      </c>
      <c r="AY59" s="54" t="s">
        <v>288</v>
      </c>
      <c r="AZ59" s="54" t="s">
        <v>289</v>
      </c>
      <c r="BA59" s="75" t="s">
        <v>160</v>
      </c>
      <c r="BC59" s="55">
        <f t="shared" si="49"/>
        <v>0</v>
      </c>
      <c r="BD59" s="55">
        <f t="shared" si="50"/>
        <v>0</v>
      </c>
      <c r="BE59" s="55">
        <v>0</v>
      </c>
      <c r="BF59" s="55">
        <f t="shared" si="51"/>
        <v>0</v>
      </c>
      <c r="BH59" s="55">
        <f t="shared" si="52"/>
        <v>0</v>
      </c>
      <c r="BI59" s="55">
        <f t="shared" si="53"/>
        <v>0</v>
      </c>
      <c r="BJ59" s="55">
        <f t="shared" si="54"/>
        <v>0</v>
      </c>
      <c r="BK59" s="54" t="s">
        <v>161</v>
      </c>
      <c r="BL59" s="55">
        <v>90</v>
      </c>
      <c r="BW59" s="55">
        <f t="shared" si="55"/>
        <v>21</v>
      </c>
      <c r="BX59" s="16" t="s">
        <v>300</v>
      </c>
    </row>
    <row r="60" spans="1:76" ht="24" customHeight="1" x14ac:dyDescent="0.3">
      <c r="A60" s="94" t="s">
        <v>301</v>
      </c>
      <c r="B60" s="94" t="s">
        <v>103</v>
      </c>
      <c r="C60" s="94" t="s">
        <v>285</v>
      </c>
      <c r="D60" s="199" t="s">
        <v>302</v>
      </c>
      <c r="E60" s="199"/>
      <c r="F60" s="94" t="s">
        <v>287</v>
      </c>
      <c r="G60" s="96">
        <f>'Stavební rozpočet'!G60</f>
        <v>30</v>
      </c>
      <c r="H60" s="97">
        <f>'Stavební rozpočet'!H60</f>
        <v>0</v>
      </c>
      <c r="I60" s="98">
        <v>21</v>
      </c>
      <c r="J60" s="97">
        <f t="shared" si="28"/>
        <v>0</v>
      </c>
      <c r="K60" s="97">
        <f t="shared" si="29"/>
        <v>0</v>
      </c>
      <c r="L60" s="97">
        <f t="shared" si="30"/>
        <v>0</v>
      </c>
      <c r="M60" s="97">
        <f t="shared" si="31"/>
        <v>0</v>
      </c>
      <c r="N60" s="97">
        <f>'Stavební rozpočet'!N60</f>
        <v>0</v>
      </c>
      <c r="O60" s="97">
        <f t="shared" si="32"/>
        <v>0</v>
      </c>
      <c r="P60" s="99" t="s">
        <v>156</v>
      </c>
      <c r="Z60" s="55">
        <f t="shared" si="33"/>
        <v>0</v>
      </c>
      <c r="AB60" s="55">
        <f t="shared" si="34"/>
        <v>0</v>
      </c>
      <c r="AC60" s="55">
        <f t="shared" si="35"/>
        <v>0</v>
      </c>
      <c r="AD60" s="55">
        <f t="shared" si="36"/>
        <v>0</v>
      </c>
      <c r="AE60" s="55">
        <f t="shared" si="37"/>
        <v>0</v>
      </c>
      <c r="AF60" s="55">
        <f t="shared" si="38"/>
        <v>0</v>
      </c>
      <c r="AG60" s="55">
        <f t="shared" si="39"/>
        <v>0</v>
      </c>
      <c r="AH60" s="55">
        <f t="shared" si="40"/>
        <v>0</v>
      </c>
      <c r="AI60" s="75" t="s">
        <v>103</v>
      </c>
      <c r="AJ60" s="55">
        <f t="shared" si="41"/>
        <v>0</v>
      </c>
      <c r="AK60" s="55">
        <f t="shared" si="42"/>
        <v>0</v>
      </c>
      <c r="AL60" s="55">
        <f t="shared" si="43"/>
        <v>0</v>
      </c>
      <c r="AN60" s="55">
        <v>21</v>
      </c>
      <c r="AO60" s="55">
        <f t="shared" si="44"/>
        <v>0</v>
      </c>
      <c r="AP60" s="55">
        <f t="shared" si="45"/>
        <v>0</v>
      </c>
      <c r="AQ60" s="54" t="s">
        <v>152</v>
      </c>
      <c r="AV60" s="55">
        <f t="shared" si="46"/>
        <v>0</v>
      </c>
      <c r="AW60" s="55">
        <f t="shared" si="47"/>
        <v>0</v>
      </c>
      <c r="AX60" s="55">
        <f t="shared" si="48"/>
        <v>0</v>
      </c>
      <c r="AY60" s="54" t="s">
        <v>288</v>
      </c>
      <c r="AZ60" s="54" t="s">
        <v>289</v>
      </c>
      <c r="BA60" s="75" t="s">
        <v>160</v>
      </c>
      <c r="BC60" s="55">
        <f t="shared" si="49"/>
        <v>0</v>
      </c>
      <c r="BD60" s="55">
        <f t="shared" si="50"/>
        <v>0</v>
      </c>
      <c r="BE60" s="55">
        <v>0</v>
      </c>
      <c r="BF60" s="55">
        <f t="shared" si="51"/>
        <v>0</v>
      </c>
      <c r="BH60" s="55">
        <f t="shared" si="52"/>
        <v>0</v>
      </c>
      <c r="BI60" s="55">
        <f t="shared" si="53"/>
        <v>0</v>
      </c>
      <c r="BJ60" s="55">
        <f t="shared" si="54"/>
        <v>0</v>
      </c>
      <c r="BK60" s="54" t="s">
        <v>161</v>
      </c>
      <c r="BL60" s="55">
        <v>90</v>
      </c>
      <c r="BW60" s="55">
        <f t="shared" si="55"/>
        <v>21</v>
      </c>
      <c r="BX60" s="16" t="s">
        <v>302</v>
      </c>
    </row>
    <row r="61" spans="1:76" ht="35.549999999999997" customHeight="1" x14ac:dyDescent="0.3">
      <c r="A61" s="94" t="s">
        <v>303</v>
      </c>
      <c r="B61" s="94" t="s">
        <v>103</v>
      </c>
      <c r="C61" s="94" t="s">
        <v>285</v>
      </c>
      <c r="D61" s="199" t="s">
        <v>304</v>
      </c>
      <c r="E61" s="199"/>
      <c r="F61" s="94" t="s">
        <v>287</v>
      </c>
      <c r="G61" s="96">
        <f>'Stavební rozpočet'!G61</f>
        <v>10</v>
      </c>
      <c r="H61" s="97">
        <f>'Stavební rozpočet'!H61</f>
        <v>0</v>
      </c>
      <c r="I61" s="98">
        <v>21</v>
      </c>
      <c r="J61" s="97">
        <f t="shared" si="28"/>
        <v>0</v>
      </c>
      <c r="K61" s="97">
        <f t="shared" si="29"/>
        <v>0</v>
      </c>
      <c r="L61" s="97">
        <f t="shared" si="30"/>
        <v>0</v>
      </c>
      <c r="M61" s="97">
        <f t="shared" si="31"/>
        <v>0</v>
      </c>
      <c r="N61" s="97">
        <f>'Stavební rozpočet'!N61</f>
        <v>0</v>
      </c>
      <c r="O61" s="97">
        <f t="shared" si="32"/>
        <v>0</v>
      </c>
      <c r="P61" s="99" t="s">
        <v>156</v>
      </c>
      <c r="Z61" s="55">
        <f t="shared" si="33"/>
        <v>0</v>
      </c>
      <c r="AB61" s="55">
        <f t="shared" si="34"/>
        <v>0</v>
      </c>
      <c r="AC61" s="55">
        <f t="shared" si="35"/>
        <v>0</v>
      </c>
      <c r="AD61" s="55">
        <f t="shared" si="36"/>
        <v>0</v>
      </c>
      <c r="AE61" s="55">
        <f t="shared" si="37"/>
        <v>0</v>
      </c>
      <c r="AF61" s="55">
        <f t="shared" si="38"/>
        <v>0</v>
      </c>
      <c r="AG61" s="55">
        <f t="shared" si="39"/>
        <v>0</v>
      </c>
      <c r="AH61" s="55">
        <f t="shared" si="40"/>
        <v>0</v>
      </c>
      <c r="AI61" s="75" t="s">
        <v>103</v>
      </c>
      <c r="AJ61" s="55">
        <f t="shared" si="41"/>
        <v>0</v>
      </c>
      <c r="AK61" s="55">
        <f t="shared" si="42"/>
        <v>0</v>
      </c>
      <c r="AL61" s="55">
        <f t="shared" si="43"/>
        <v>0</v>
      </c>
      <c r="AN61" s="55">
        <v>21</v>
      </c>
      <c r="AO61" s="55">
        <f t="shared" si="44"/>
        <v>0</v>
      </c>
      <c r="AP61" s="55">
        <f t="shared" si="45"/>
        <v>0</v>
      </c>
      <c r="AQ61" s="54" t="s">
        <v>152</v>
      </c>
      <c r="AV61" s="55">
        <f t="shared" si="46"/>
        <v>0</v>
      </c>
      <c r="AW61" s="55">
        <f t="shared" si="47"/>
        <v>0</v>
      </c>
      <c r="AX61" s="55">
        <f t="shared" si="48"/>
        <v>0</v>
      </c>
      <c r="AY61" s="54" t="s">
        <v>288</v>
      </c>
      <c r="AZ61" s="54" t="s">
        <v>289</v>
      </c>
      <c r="BA61" s="75" t="s">
        <v>160</v>
      </c>
      <c r="BC61" s="55">
        <f t="shared" si="49"/>
        <v>0</v>
      </c>
      <c r="BD61" s="55">
        <f t="shared" si="50"/>
        <v>0</v>
      </c>
      <c r="BE61" s="55">
        <v>0</v>
      </c>
      <c r="BF61" s="55">
        <f t="shared" si="51"/>
        <v>0</v>
      </c>
      <c r="BH61" s="55">
        <f t="shared" si="52"/>
        <v>0</v>
      </c>
      <c r="BI61" s="55">
        <f t="shared" si="53"/>
        <v>0</v>
      </c>
      <c r="BJ61" s="55">
        <f t="shared" si="54"/>
        <v>0</v>
      </c>
      <c r="BK61" s="54" t="s">
        <v>161</v>
      </c>
      <c r="BL61" s="55">
        <v>90</v>
      </c>
      <c r="BW61" s="55">
        <f t="shared" si="55"/>
        <v>21</v>
      </c>
      <c r="BX61" s="16" t="s">
        <v>304</v>
      </c>
    </row>
    <row r="62" spans="1:76" ht="15" customHeight="1" x14ac:dyDescent="0.3">
      <c r="A62" s="88"/>
      <c r="B62" s="89" t="s">
        <v>103</v>
      </c>
      <c r="C62" s="89" t="s">
        <v>305</v>
      </c>
      <c r="D62" s="198" t="s">
        <v>306</v>
      </c>
      <c r="E62" s="198"/>
      <c r="F62" s="88" t="s">
        <v>96</v>
      </c>
      <c r="G62" s="90" t="s">
        <v>96</v>
      </c>
      <c r="H62" s="88" t="s">
        <v>96</v>
      </c>
      <c r="I62" s="88" t="s">
        <v>96</v>
      </c>
      <c r="J62" s="91">
        <f>SUM(J63:J67)</f>
        <v>0</v>
      </c>
      <c r="K62" s="91">
        <f>SUM(K63:K67)</f>
        <v>0</v>
      </c>
      <c r="L62" s="91">
        <f>SUM(L63:L67)</f>
        <v>0</v>
      </c>
      <c r="M62" s="91">
        <f>SUM(M63:M67)</f>
        <v>0</v>
      </c>
      <c r="N62" s="92"/>
      <c r="O62" s="91">
        <f>SUM(O63:O67)</f>
        <v>0.71366400000000008</v>
      </c>
      <c r="P62" s="92"/>
      <c r="AI62" s="75" t="s">
        <v>103</v>
      </c>
      <c r="AS62" s="68">
        <f>SUM(AJ63:AJ67)</f>
        <v>0</v>
      </c>
      <c r="AT62" s="68">
        <f>SUM(AK63:AK67)</f>
        <v>0</v>
      </c>
      <c r="AU62" s="68">
        <f>SUM(AL63:AL67)</f>
        <v>0</v>
      </c>
    </row>
    <row r="63" spans="1:76" ht="15" customHeight="1" x14ac:dyDescent="0.3">
      <c r="A63" s="94" t="s">
        <v>307</v>
      </c>
      <c r="B63" s="94" t="s">
        <v>103</v>
      </c>
      <c r="C63" s="94" t="s">
        <v>308</v>
      </c>
      <c r="D63" s="199" t="s">
        <v>309</v>
      </c>
      <c r="E63" s="199"/>
      <c r="F63" s="94" t="s">
        <v>176</v>
      </c>
      <c r="G63" s="96">
        <f>'Stavební rozpočet'!G63</f>
        <v>50.4</v>
      </c>
      <c r="H63" s="97">
        <f>'Stavební rozpočet'!H63</f>
        <v>0</v>
      </c>
      <c r="I63" s="98">
        <v>21</v>
      </c>
      <c r="J63" s="97">
        <f>ROUND(G63*AO63,2)</f>
        <v>0</v>
      </c>
      <c r="K63" s="97">
        <f>ROUND(G63*AP63,2)</f>
        <v>0</v>
      </c>
      <c r="L63" s="97">
        <f>ROUND(G63*H63,2)</f>
        <v>0</v>
      </c>
      <c r="M63" s="97">
        <f>L63*(1+BW63/100)</f>
        <v>0</v>
      </c>
      <c r="N63" s="97">
        <f>'Stavební rozpočet'!N63</f>
        <v>3.3E-4</v>
      </c>
      <c r="O63" s="97">
        <f>G63*N63</f>
        <v>1.6632000000000001E-2</v>
      </c>
      <c r="P63" s="99" t="s">
        <v>156</v>
      </c>
      <c r="Z63" s="55">
        <f>ROUND(IF(AQ63="5",BJ63,0),2)</f>
        <v>0</v>
      </c>
      <c r="AB63" s="55">
        <f>ROUND(IF(AQ63="1",BH63,0),2)</f>
        <v>0</v>
      </c>
      <c r="AC63" s="55">
        <f>ROUND(IF(AQ63="1",BI63,0),2)</f>
        <v>0</v>
      </c>
      <c r="AD63" s="55">
        <f>ROUND(IF(AQ63="7",BH63,0),2)</f>
        <v>0</v>
      </c>
      <c r="AE63" s="55">
        <f>ROUND(IF(AQ63="7",BI63,0),2)</f>
        <v>0</v>
      </c>
      <c r="AF63" s="55">
        <f>ROUND(IF(AQ63="2",BH63,0),2)</f>
        <v>0</v>
      </c>
      <c r="AG63" s="55">
        <f>ROUND(IF(AQ63="2",BI63,0),2)</f>
        <v>0</v>
      </c>
      <c r="AH63" s="55">
        <f>ROUND(IF(AQ63="0",BJ63,0),2)</f>
        <v>0</v>
      </c>
      <c r="AI63" s="75" t="s">
        <v>103</v>
      </c>
      <c r="AJ63" s="55">
        <f>IF(AN63=0,L63,0)</f>
        <v>0</v>
      </c>
      <c r="AK63" s="55">
        <f>IF(AN63=12,L63,0)</f>
        <v>0</v>
      </c>
      <c r="AL63" s="55">
        <f>IF(AN63=21,L63,0)</f>
        <v>0</v>
      </c>
      <c r="AN63" s="55">
        <v>21</v>
      </c>
      <c r="AO63" s="55">
        <f>H63*0.540198116</f>
        <v>0</v>
      </c>
      <c r="AP63" s="55">
        <f>H63*(1-0.540198116)</f>
        <v>0</v>
      </c>
      <c r="AQ63" s="54" t="s">
        <v>152</v>
      </c>
      <c r="AV63" s="55">
        <f>ROUND(AW63+AX63,2)</f>
        <v>0</v>
      </c>
      <c r="AW63" s="55">
        <f>ROUND(G63*AO63,2)</f>
        <v>0</v>
      </c>
      <c r="AX63" s="55">
        <f>ROUND(G63*AP63,2)</f>
        <v>0</v>
      </c>
      <c r="AY63" s="54" t="s">
        <v>310</v>
      </c>
      <c r="AZ63" s="54" t="s">
        <v>289</v>
      </c>
      <c r="BA63" s="75" t="s">
        <v>160</v>
      </c>
      <c r="BC63" s="55">
        <f>AW63+AX63</f>
        <v>0</v>
      </c>
      <c r="BD63" s="55">
        <f>H63/(100-BE63)*100</f>
        <v>0</v>
      </c>
      <c r="BE63" s="55">
        <v>0</v>
      </c>
      <c r="BF63" s="55">
        <f>O63</f>
        <v>1.6632000000000001E-2</v>
      </c>
      <c r="BH63" s="55">
        <f>G63*AO63</f>
        <v>0</v>
      </c>
      <c r="BI63" s="55">
        <f>G63*AP63</f>
        <v>0</v>
      </c>
      <c r="BJ63" s="55">
        <f>G63*H63</f>
        <v>0</v>
      </c>
      <c r="BK63" s="54" t="s">
        <v>161</v>
      </c>
      <c r="BL63" s="55">
        <v>94</v>
      </c>
      <c r="BW63" s="55">
        <f>I63</f>
        <v>21</v>
      </c>
      <c r="BX63" s="16" t="s">
        <v>309</v>
      </c>
    </row>
    <row r="64" spans="1:76" ht="15" customHeight="1" x14ac:dyDescent="0.3">
      <c r="A64" s="94" t="s">
        <v>311</v>
      </c>
      <c r="B64" s="94" t="s">
        <v>103</v>
      </c>
      <c r="C64" s="94" t="s">
        <v>312</v>
      </c>
      <c r="D64" s="199" t="s">
        <v>313</v>
      </c>
      <c r="E64" s="199"/>
      <c r="F64" s="94" t="s">
        <v>155</v>
      </c>
      <c r="G64" s="96">
        <f>'Stavební rozpočet'!G64</f>
        <v>50.4</v>
      </c>
      <c r="H64" s="97">
        <f>'Stavební rozpočet'!H64</f>
        <v>0</v>
      </c>
      <c r="I64" s="98">
        <v>21</v>
      </c>
      <c r="J64" s="97">
        <f>ROUND(G64*AO64,2)</f>
        <v>0</v>
      </c>
      <c r="K64" s="97">
        <f>ROUND(G64*AP64,2)</f>
        <v>0</v>
      </c>
      <c r="L64" s="97">
        <f>ROUND(G64*H64,2)</f>
        <v>0</v>
      </c>
      <c r="M64" s="97">
        <f>L64*(1+BW64/100)</f>
        <v>0</v>
      </c>
      <c r="N64" s="97">
        <f>'Stavební rozpočet'!N64</f>
        <v>5.9999999999999995E-4</v>
      </c>
      <c r="O64" s="97">
        <f>G64*N64</f>
        <v>3.0239999999999996E-2</v>
      </c>
      <c r="P64" s="99" t="s">
        <v>156</v>
      </c>
      <c r="Z64" s="55">
        <f>ROUND(IF(AQ64="5",BJ64,0),2)</f>
        <v>0</v>
      </c>
      <c r="AB64" s="55">
        <f>ROUND(IF(AQ64="1",BH64,0),2)</f>
        <v>0</v>
      </c>
      <c r="AC64" s="55">
        <f>ROUND(IF(AQ64="1",BI64,0),2)</f>
        <v>0</v>
      </c>
      <c r="AD64" s="55">
        <f>ROUND(IF(AQ64="7",BH64,0),2)</f>
        <v>0</v>
      </c>
      <c r="AE64" s="55">
        <f>ROUND(IF(AQ64="7",BI64,0),2)</f>
        <v>0</v>
      </c>
      <c r="AF64" s="55">
        <f>ROUND(IF(AQ64="2",BH64,0),2)</f>
        <v>0</v>
      </c>
      <c r="AG64" s="55">
        <f>ROUND(IF(AQ64="2",BI64,0),2)</f>
        <v>0</v>
      </c>
      <c r="AH64" s="55">
        <f>ROUND(IF(AQ64="0",BJ64,0),2)</f>
        <v>0</v>
      </c>
      <c r="AI64" s="75" t="s">
        <v>103</v>
      </c>
      <c r="AJ64" s="55">
        <f>IF(AN64=0,L64,0)</f>
        <v>0</v>
      </c>
      <c r="AK64" s="55">
        <f>IF(AN64=12,L64,0)</f>
        <v>0</v>
      </c>
      <c r="AL64" s="55">
        <f>IF(AN64=21,L64,0)</f>
        <v>0</v>
      </c>
      <c r="AN64" s="55">
        <v>21</v>
      </c>
      <c r="AO64" s="55">
        <f>H64*0</f>
        <v>0</v>
      </c>
      <c r="AP64" s="55">
        <f>H64*(1-0)</f>
        <v>0</v>
      </c>
      <c r="AQ64" s="54" t="s">
        <v>152</v>
      </c>
      <c r="AV64" s="55">
        <f>ROUND(AW64+AX64,2)</f>
        <v>0</v>
      </c>
      <c r="AW64" s="55">
        <f>ROUND(G64*AO64,2)</f>
        <v>0</v>
      </c>
      <c r="AX64" s="55">
        <f>ROUND(G64*AP64,2)</f>
        <v>0</v>
      </c>
      <c r="AY64" s="54" t="s">
        <v>310</v>
      </c>
      <c r="AZ64" s="54" t="s">
        <v>289</v>
      </c>
      <c r="BA64" s="75" t="s">
        <v>160</v>
      </c>
      <c r="BC64" s="55">
        <f>AW64+AX64</f>
        <v>0</v>
      </c>
      <c r="BD64" s="55">
        <f>H64/(100-BE64)*100</f>
        <v>0</v>
      </c>
      <c r="BE64" s="55">
        <v>0</v>
      </c>
      <c r="BF64" s="55">
        <f>O64</f>
        <v>3.0239999999999996E-2</v>
      </c>
      <c r="BH64" s="55">
        <f>G64*AO64</f>
        <v>0</v>
      </c>
      <c r="BI64" s="55">
        <f>G64*AP64</f>
        <v>0</v>
      </c>
      <c r="BJ64" s="55">
        <f>G64*H64</f>
        <v>0</v>
      </c>
      <c r="BK64" s="54" t="s">
        <v>161</v>
      </c>
      <c r="BL64" s="55">
        <v>94</v>
      </c>
      <c r="BW64" s="55">
        <f>I64</f>
        <v>21</v>
      </c>
      <c r="BX64" s="16" t="s">
        <v>313</v>
      </c>
    </row>
    <row r="65" spans="1:76" ht="35.549999999999997" customHeight="1" x14ac:dyDescent="0.3">
      <c r="A65" s="94" t="s">
        <v>314</v>
      </c>
      <c r="B65" s="94" t="s">
        <v>103</v>
      </c>
      <c r="C65" s="94" t="s">
        <v>315</v>
      </c>
      <c r="D65" s="199" t="s">
        <v>316</v>
      </c>
      <c r="E65" s="199"/>
      <c r="F65" s="94" t="s">
        <v>155</v>
      </c>
      <c r="G65" s="96">
        <f>'Stavební rozpočet'!G65</f>
        <v>50.4</v>
      </c>
      <c r="H65" s="97">
        <f>'Stavební rozpočet'!H65</f>
        <v>0</v>
      </c>
      <c r="I65" s="98">
        <v>21</v>
      </c>
      <c r="J65" s="97">
        <f>ROUND(G65*AO65,2)</f>
        <v>0</v>
      </c>
      <c r="K65" s="97">
        <f>ROUND(G65*AP65,2)</f>
        <v>0</v>
      </c>
      <c r="L65" s="97">
        <f>ROUND(G65*H65,2)</f>
        <v>0</v>
      </c>
      <c r="M65" s="97">
        <f>L65*(1+BW65/100)</f>
        <v>0</v>
      </c>
      <c r="N65" s="97">
        <f>'Stavební rozpočet'!N65</f>
        <v>1.323E-2</v>
      </c>
      <c r="O65" s="97">
        <f>G65*N65</f>
        <v>0.66679200000000005</v>
      </c>
      <c r="P65" s="99" t="s">
        <v>156</v>
      </c>
      <c r="Z65" s="55">
        <f>ROUND(IF(AQ65="5",BJ65,0),2)</f>
        <v>0</v>
      </c>
      <c r="AB65" s="55">
        <f>ROUND(IF(AQ65="1",BH65,0),2)</f>
        <v>0</v>
      </c>
      <c r="AC65" s="55">
        <f>ROUND(IF(AQ65="1",BI65,0),2)</f>
        <v>0</v>
      </c>
      <c r="AD65" s="55">
        <f>ROUND(IF(AQ65="7",BH65,0),2)</f>
        <v>0</v>
      </c>
      <c r="AE65" s="55">
        <f>ROUND(IF(AQ65="7",BI65,0),2)</f>
        <v>0</v>
      </c>
      <c r="AF65" s="55">
        <f>ROUND(IF(AQ65="2",BH65,0),2)</f>
        <v>0</v>
      </c>
      <c r="AG65" s="55">
        <f>ROUND(IF(AQ65="2",BI65,0),2)</f>
        <v>0</v>
      </c>
      <c r="AH65" s="55">
        <f>ROUND(IF(AQ65="0",BJ65,0),2)</f>
        <v>0</v>
      </c>
      <c r="AI65" s="75" t="s">
        <v>103</v>
      </c>
      <c r="AJ65" s="55">
        <f>IF(AN65=0,L65,0)</f>
        <v>0</v>
      </c>
      <c r="AK65" s="55">
        <f>IF(AN65=12,L65,0)</f>
        <v>0</v>
      </c>
      <c r="AL65" s="55">
        <f>IF(AN65=21,L65,0)</f>
        <v>0</v>
      </c>
      <c r="AN65" s="55">
        <v>21</v>
      </c>
      <c r="AO65" s="55">
        <f>H65*0</f>
        <v>0</v>
      </c>
      <c r="AP65" s="55">
        <f>H65*(1-0)</f>
        <v>0</v>
      </c>
      <c r="AQ65" s="54" t="s">
        <v>152</v>
      </c>
      <c r="AV65" s="55">
        <f>ROUND(AW65+AX65,2)</f>
        <v>0</v>
      </c>
      <c r="AW65" s="55">
        <f>ROUND(G65*AO65,2)</f>
        <v>0</v>
      </c>
      <c r="AX65" s="55">
        <f>ROUND(G65*AP65,2)</f>
        <v>0</v>
      </c>
      <c r="AY65" s="54" t="s">
        <v>310</v>
      </c>
      <c r="AZ65" s="54" t="s">
        <v>289</v>
      </c>
      <c r="BA65" s="75" t="s">
        <v>160</v>
      </c>
      <c r="BC65" s="55">
        <f>AW65+AX65</f>
        <v>0</v>
      </c>
      <c r="BD65" s="55">
        <f>H65/(100-BE65)*100</f>
        <v>0</v>
      </c>
      <c r="BE65" s="55">
        <v>0</v>
      </c>
      <c r="BF65" s="55">
        <f>O65</f>
        <v>0.66679200000000005</v>
      </c>
      <c r="BH65" s="55">
        <f>G65*AO65</f>
        <v>0</v>
      </c>
      <c r="BI65" s="55">
        <f>G65*AP65</f>
        <v>0</v>
      </c>
      <c r="BJ65" s="55">
        <f>G65*H65</f>
        <v>0</v>
      </c>
      <c r="BK65" s="54" t="s">
        <v>161</v>
      </c>
      <c r="BL65" s="55">
        <v>94</v>
      </c>
      <c r="BW65" s="55">
        <f>I65</f>
        <v>21</v>
      </c>
      <c r="BX65" s="16" t="s">
        <v>316</v>
      </c>
    </row>
    <row r="66" spans="1:76" ht="15" customHeight="1" x14ac:dyDescent="0.3">
      <c r="A66" s="94" t="s">
        <v>317</v>
      </c>
      <c r="B66" s="94" t="s">
        <v>103</v>
      </c>
      <c r="C66" s="94" t="s">
        <v>318</v>
      </c>
      <c r="D66" s="199" t="s">
        <v>319</v>
      </c>
      <c r="E66" s="199"/>
      <c r="F66" s="94" t="s">
        <v>155</v>
      </c>
      <c r="G66" s="96">
        <f>'Stavební rozpočet'!G66</f>
        <v>50.4</v>
      </c>
      <c r="H66" s="97">
        <f>'Stavební rozpočet'!H66</f>
        <v>0</v>
      </c>
      <c r="I66" s="98">
        <v>21</v>
      </c>
      <c r="J66" s="97">
        <f>ROUND(G66*AO66,2)</f>
        <v>0</v>
      </c>
      <c r="K66" s="97">
        <f>ROUND(G66*AP66,2)</f>
        <v>0</v>
      </c>
      <c r="L66" s="97">
        <f>ROUND(G66*H66,2)</f>
        <v>0</v>
      </c>
      <c r="M66" s="97">
        <f>L66*(1+BW66/100)</f>
        <v>0</v>
      </c>
      <c r="N66" s="97">
        <f>'Stavební rozpočet'!N66</f>
        <v>0</v>
      </c>
      <c r="O66" s="97">
        <f>G66*N66</f>
        <v>0</v>
      </c>
      <c r="P66" s="99" t="s">
        <v>156</v>
      </c>
      <c r="Z66" s="55">
        <f>ROUND(IF(AQ66="5",BJ66,0),2)</f>
        <v>0</v>
      </c>
      <c r="AB66" s="55">
        <f>ROUND(IF(AQ66="1",BH66,0),2)</f>
        <v>0</v>
      </c>
      <c r="AC66" s="55">
        <f>ROUND(IF(AQ66="1",BI66,0),2)</f>
        <v>0</v>
      </c>
      <c r="AD66" s="55">
        <f>ROUND(IF(AQ66="7",BH66,0),2)</f>
        <v>0</v>
      </c>
      <c r="AE66" s="55">
        <f>ROUND(IF(AQ66="7",BI66,0),2)</f>
        <v>0</v>
      </c>
      <c r="AF66" s="55">
        <f>ROUND(IF(AQ66="2",BH66,0),2)</f>
        <v>0</v>
      </c>
      <c r="AG66" s="55">
        <f>ROUND(IF(AQ66="2",BI66,0),2)</f>
        <v>0</v>
      </c>
      <c r="AH66" s="55">
        <f>ROUND(IF(AQ66="0",BJ66,0),2)</f>
        <v>0</v>
      </c>
      <c r="AI66" s="75" t="s">
        <v>103</v>
      </c>
      <c r="AJ66" s="55">
        <f>IF(AN66=0,L66,0)</f>
        <v>0</v>
      </c>
      <c r="AK66" s="55">
        <f>IF(AN66=12,L66,0)</f>
        <v>0</v>
      </c>
      <c r="AL66" s="55">
        <f>IF(AN66=21,L66,0)</f>
        <v>0</v>
      </c>
      <c r="AN66" s="55">
        <v>21</v>
      </c>
      <c r="AO66" s="55">
        <f>H66*0</f>
        <v>0</v>
      </c>
      <c r="AP66" s="55">
        <f>H66*(1-0)</f>
        <v>0</v>
      </c>
      <c r="AQ66" s="54" t="s">
        <v>152</v>
      </c>
      <c r="AV66" s="55">
        <f>ROUND(AW66+AX66,2)</f>
        <v>0</v>
      </c>
      <c r="AW66" s="55">
        <f>ROUND(G66*AO66,2)</f>
        <v>0</v>
      </c>
      <c r="AX66" s="55">
        <f>ROUND(G66*AP66,2)</f>
        <v>0</v>
      </c>
      <c r="AY66" s="54" t="s">
        <v>310</v>
      </c>
      <c r="AZ66" s="54" t="s">
        <v>289</v>
      </c>
      <c r="BA66" s="75" t="s">
        <v>160</v>
      </c>
      <c r="BC66" s="55">
        <f>AW66+AX66</f>
        <v>0</v>
      </c>
      <c r="BD66" s="55">
        <f>H66/(100-BE66)*100</f>
        <v>0</v>
      </c>
      <c r="BE66" s="55">
        <v>0</v>
      </c>
      <c r="BF66" s="55">
        <f>O66</f>
        <v>0</v>
      </c>
      <c r="BH66" s="55">
        <f>G66*AO66</f>
        <v>0</v>
      </c>
      <c r="BI66" s="55">
        <f>G66*AP66</f>
        <v>0</v>
      </c>
      <c r="BJ66" s="55">
        <f>G66*H66</f>
        <v>0</v>
      </c>
      <c r="BK66" s="54" t="s">
        <v>161</v>
      </c>
      <c r="BL66" s="55">
        <v>94</v>
      </c>
      <c r="BW66" s="55">
        <f>I66</f>
        <v>21</v>
      </c>
      <c r="BX66" s="16" t="s">
        <v>319</v>
      </c>
    </row>
    <row r="67" spans="1:76" ht="15" customHeight="1" x14ac:dyDescent="0.3">
      <c r="A67" s="94" t="s">
        <v>320</v>
      </c>
      <c r="B67" s="94" t="s">
        <v>103</v>
      </c>
      <c r="C67" s="94" t="s">
        <v>321</v>
      </c>
      <c r="D67" s="199" t="s">
        <v>322</v>
      </c>
      <c r="E67" s="199"/>
      <c r="F67" s="94" t="s">
        <v>323</v>
      </c>
      <c r="G67" s="96">
        <f>'Stavební rozpočet'!G67</f>
        <v>0.71399999999999997</v>
      </c>
      <c r="H67" s="97">
        <f>'Stavební rozpočet'!H67</f>
        <v>0</v>
      </c>
      <c r="I67" s="98">
        <v>21</v>
      </c>
      <c r="J67" s="97">
        <f>ROUND(G67*AO67,2)</f>
        <v>0</v>
      </c>
      <c r="K67" s="97">
        <f>ROUND(G67*AP67,2)</f>
        <v>0</v>
      </c>
      <c r="L67" s="97">
        <f>ROUND(G67*H67,2)</f>
        <v>0</v>
      </c>
      <c r="M67" s="97">
        <f>L67*(1+BW67/100)</f>
        <v>0</v>
      </c>
      <c r="N67" s="97">
        <f>'Stavební rozpočet'!N67</f>
        <v>0</v>
      </c>
      <c r="O67" s="97">
        <f>G67*N67</f>
        <v>0</v>
      </c>
      <c r="P67" s="99" t="s">
        <v>156</v>
      </c>
      <c r="Z67" s="55">
        <f>ROUND(IF(AQ67="5",BJ67,0),2)</f>
        <v>0</v>
      </c>
      <c r="AB67" s="55">
        <f>ROUND(IF(AQ67="1",BH67,0),2)</f>
        <v>0</v>
      </c>
      <c r="AC67" s="55">
        <f>ROUND(IF(AQ67="1",BI67,0),2)</f>
        <v>0</v>
      </c>
      <c r="AD67" s="55">
        <f>ROUND(IF(AQ67="7",BH67,0),2)</f>
        <v>0</v>
      </c>
      <c r="AE67" s="55">
        <f>ROUND(IF(AQ67="7",BI67,0),2)</f>
        <v>0</v>
      </c>
      <c r="AF67" s="55">
        <f>ROUND(IF(AQ67="2",BH67,0),2)</f>
        <v>0</v>
      </c>
      <c r="AG67" s="55">
        <f>ROUND(IF(AQ67="2",BI67,0),2)</f>
        <v>0</v>
      </c>
      <c r="AH67" s="55">
        <f>ROUND(IF(AQ67="0",BJ67,0),2)</f>
        <v>0</v>
      </c>
      <c r="AI67" s="75" t="s">
        <v>103</v>
      </c>
      <c r="AJ67" s="55">
        <f>IF(AN67=0,L67,0)</f>
        <v>0</v>
      </c>
      <c r="AK67" s="55">
        <f>IF(AN67=12,L67,0)</f>
        <v>0</v>
      </c>
      <c r="AL67" s="55">
        <f>IF(AN67=21,L67,0)</f>
        <v>0</v>
      </c>
      <c r="AN67" s="55">
        <v>21</v>
      </c>
      <c r="AO67" s="55">
        <f>H67*0</f>
        <v>0</v>
      </c>
      <c r="AP67" s="55">
        <f>H67*(1-0)</f>
        <v>0</v>
      </c>
      <c r="AQ67" s="54" t="s">
        <v>179</v>
      </c>
      <c r="AV67" s="55">
        <f>ROUND(AW67+AX67,2)</f>
        <v>0</v>
      </c>
      <c r="AW67" s="55">
        <f>ROUND(G67*AO67,2)</f>
        <v>0</v>
      </c>
      <c r="AX67" s="55">
        <f>ROUND(G67*AP67,2)</f>
        <v>0</v>
      </c>
      <c r="AY67" s="54" t="s">
        <v>310</v>
      </c>
      <c r="AZ67" s="54" t="s">
        <v>289</v>
      </c>
      <c r="BA67" s="75" t="s">
        <v>160</v>
      </c>
      <c r="BC67" s="55">
        <f>AW67+AX67</f>
        <v>0</v>
      </c>
      <c r="BD67" s="55">
        <f>H67/(100-BE67)*100</f>
        <v>0</v>
      </c>
      <c r="BE67" s="55">
        <v>0</v>
      </c>
      <c r="BF67" s="55">
        <f>O67</f>
        <v>0</v>
      </c>
      <c r="BH67" s="55">
        <f>G67*AO67</f>
        <v>0</v>
      </c>
      <c r="BI67" s="55">
        <f>G67*AP67</f>
        <v>0</v>
      </c>
      <c r="BJ67" s="55">
        <f>G67*H67</f>
        <v>0</v>
      </c>
      <c r="BK67" s="54" t="s">
        <v>161</v>
      </c>
      <c r="BL67" s="55">
        <v>94</v>
      </c>
      <c r="BW67" s="55">
        <f>I67</f>
        <v>21</v>
      </c>
      <c r="BX67" s="16" t="s">
        <v>322</v>
      </c>
    </row>
    <row r="68" spans="1:76" ht="15" customHeight="1" x14ac:dyDescent="0.3">
      <c r="A68" s="88"/>
      <c r="B68" s="89" t="s">
        <v>103</v>
      </c>
      <c r="C68" s="89" t="s">
        <v>324</v>
      </c>
      <c r="D68" s="198" t="s">
        <v>325</v>
      </c>
      <c r="E68" s="198"/>
      <c r="F68" s="88" t="s">
        <v>96</v>
      </c>
      <c r="G68" s="90" t="s">
        <v>96</v>
      </c>
      <c r="H68" s="88" t="s">
        <v>96</v>
      </c>
      <c r="I68" s="88" t="s">
        <v>96</v>
      </c>
      <c r="J68" s="91">
        <f>SUM(J69:J84)</f>
        <v>0</v>
      </c>
      <c r="K68" s="91">
        <f>SUM(K69:K84)</f>
        <v>0</v>
      </c>
      <c r="L68" s="91">
        <f>SUM(L69:L84)</f>
        <v>0</v>
      </c>
      <c r="M68" s="91">
        <f>SUM(M69:M84)</f>
        <v>0</v>
      </c>
      <c r="N68" s="92"/>
      <c r="O68" s="91">
        <f>SUM(O69:O84)</f>
        <v>237.52722068</v>
      </c>
      <c r="P68" s="92"/>
      <c r="AI68" s="75" t="s">
        <v>103</v>
      </c>
      <c r="AS68" s="68">
        <f>SUM(AJ69:AJ84)</f>
        <v>0</v>
      </c>
      <c r="AT68" s="68">
        <f>SUM(AK69:AK84)</f>
        <v>0</v>
      </c>
      <c r="AU68" s="68">
        <f>SUM(AL69:AL84)</f>
        <v>0</v>
      </c>
    </row>
    <row r="69" spans="1:76" ht="15" customHeight="1" x14ac:dyDescent="0.3">
      <c r="A69" s="94" t="s">
        <v>326</v>
      </c>
      <c r="B69" s="94" t="s">
        <v>103</v>
      </c>
      <c r="C69" s="94" t="s">
        <v>327</v>
      </c>
      <c r="D69" s="199" t="s">
        <v>328</v>
      </c>
      <c r="E69" s="199"/>
      <c r="F69" s="94" t="s">
        <v>212</v>
      </c>
      <c r="G69" s="96">
        <f>'Stavební rozpočet'!G69</f>
        <v>10</v>
      </c>
      <c r="H69" s="97">
        <f>'Stavební rozpočet'!H69</f>
        <v>0</v>
      </c>
      <c r="I69" s="98">
        <v>21</v>
      </c>
      <c r="J69" s="97">
        <f t="shared" ref="J69:J84" si="56">ROUND(G69*AO69,2)</f>
        <v>0</v>
      </c>
      <c r="K69" s="97">
        <f t="shared" ref="K69:K84" si="57">ROUND(G69*AP69,2)</f>
        <v>0</v>
      </c>
      <c r="L69" s="97">
        <f t="shared" ref="L69:L84" si="58">ROUND(G69*H69,2)</f>
        <v>0</v>
      </c>
      <c r="M69" s="97">
        <f t="shared" ref="M69:M84" si="59">L69*(1+BW69/100)</f>
        <v>0</v>
      </c>
      <c r="N69" s="97">
        <f>'Stavební rozpočet'!N69</f>
        <v>0</v>
      </c>
      <c r="O69" s="97">
        <f t="shared" ref="O69:O84" si="60">G69*N69</f>
        <v>0</v>
      </c>
      <c r="P69" s="99" t="s">
        <v>156</v>
      </c>
      <c r="Z69" s="55">
        <f t="shared" ref="Z69:Z84" si="61">ROUND(IF(AQ69="5",BJ69,0),2)</f>
        <v>0</v>
      </c>
      <c r="AB69" s="55">
        <f t="shared" ref="AB69:AB84" si="62">ROUND(IF(AQ69="1",BH69,0),2)</f>
        <v>0</v>
      </c>
      <c r="AC69" s="55">
        <f t="shared" ref="AC69:AC84" si="63">ROUND(IF(AQ69="1",BI69,0),2)</f>
        <v>0</v>
      </c>
      <c r="AD69" s="55">
        <f t="shared" ref="AD69:AD84" si="64">ROUND(IF(AQ69="7",BH69,0),2)</f>
        <v>0</v>
      </c>
      <c r="AE69" s="55">
        <f t="shared" ref="AE69:AE84" si="65">ROUND(IF(AQ69="7",BI69,0),2)</f>
        <v>0</v>
      </c>
      <c r="AF69" s="55">
        <f t="shared" ref="AF69:AF84" si="66">ROUND(IF(AQ69="2",BH69,0),2)</f>
        <v>0</v>
      </c>
      <c r="AG69" s="55">
        <f t="shared" ref="AG69:AG84" si="67">ROUND(IF(AQ69="2",BI69,0),2)</f>
        <v>0</v>
      </c>
      <c r="AH69" s="55">
        <f t="shared" ref="AH69:AH84" si="68">ROUND(IF(AQ69="0",BJ69,0),2)</f>
        <v>0</v>
      </c>
      <c r="AI69" s="75" t="s">
        <v>103</v>
      </c>
      <c r="AJ69" s="55">
        <f t="shared" ref="AJ69:AJ84" si="69">IF(AN69=0,L69,0)</f>
        <v>0</v>
      </c>
      <c r="AK69" s="55">
        <f t="shared" ref="AK69:AK84" si="70">IF(AN69=12,L69,0)</f>
        <v>0</v>
      </c>
      <c r="AL69" s="55">
        <f t="shared" ref="AL69:AL84" si="71">IF(AN69=21,L69,0)</f>
        <v>0</v>
      </c>
      <c r="AN69" s="55">
        <v>21</v>
      </c>
      <c r="AO69" s="55">
        <f>H69*0</f>
        <v>0</v>
      </c>
      <c r="AP69" s="55">
        <f>H69*(1-0)</f>
        <v>0</v>
      </c>
      <c r="AQ69" s="54" t="s">
        <v>152</v>
      </c>
      <c r="AV69" s="55">
        <f t="shared" ref="AV69:AV84" si="72">ROUND(AW69+AX69,2)</f>
        <v>0</v>
      </c>
      <c r="AW69" s="55">
        <f t="shared" ref="AW69:AW84" si="73">ROUND(G69*AO69,2)</f>
        <v>0</v>
      </c>
      <c r="AX69" s="55">
        <f t="shared" ref="AX69:AX84" si="74">ROUND(G69*AP69,2)</f>
        <v>0</v>
      </c>
      <c r="AY69" s="54" t="s">
        <v>329</v>
      </c>
      <c r="AZ69" s="54" t="s">
        <v>289</v>
      </c>
      <c r="BA69" s="75" t="s">
        <v>160</v>
      </c>
      <c r="BC69" s="55">
        <f t="shared" ref="BC69:BC84" si="75">AW69+AX69</f>
        <v>0</v>
      </c>
      <c r="BD69" s="55">
        <f t="shared" ref="BD69:BD84" si="76">H69/(100-BE69)*100</f>
        <v>0</v>
      </c>
      <c r="BE69" s="55">
        <v>0</v>
      </c>
      <c r="BF69" s="55">
        <f t="shared" ref="BF69:BF84" si="77">O69</f>
        <v>0</v>
      </c>
      <c r="BH69" s="55">
        <f t="shared" ref="BH69:BH84" si="78">G69*AO69</f>
        <v>0</v>
      </c>
      <c r="BI69" s="55">
        <f t="shared" ref="BI69:BI84" si="79">G69*AP69</f>
        <v>0</v>
      </c>
      <c r="BJ69" s="55">
        <f t="shared" ref="BJ69:BJ84" si="80">G69*H69</f>
        <v>0</v>
      </c>
      <c r="BK69" s="54" t="s">
        <v>161</v>
      </c>
      <c r="BL69" s="55">
        <v>96</v>
      </c>
      <c r="BW69" s="55">
        <f t="shared" ref="BW69:BW84" si="81">I69</f>
        <v>21</v>
      </c>
      <c r="BX69" s="16" t="s">
        <v>328</v>
      </c>
    </row>
    <row r="70" spans="1:76" ht="15" customHeight="1" x14ac:dyDescent="0.3">
      <c r="A70" s="94" t="s">
        <v>330</v>
      </c>
      <c r="B70" s="94" t="s">
        <v>103</v>
      </c>
      <c r="C70" s="94" t="s">
        <v>331</v>
      </c>
      <c r="D70" s="199" t="s">
        <v>332</v>
      </c>
      <c r="E70" s="199"/>
      <c r="F70" s="94" t="s">
        <v>212</v>
      </c>
      <c r="G70" s="96">
        <f>'Stavební rozpočet'!G70</f>
        <v>22</v>
      </c>
      <c r="H70" s="97">
        <f>'Stavební rozpočet'!H70</f>
        <v>0</v>
      </c>
      <c r="I70" s="98">
        <v>21</v>
      </c>
      <c r="J70" s="97">
        <f t="shared" si="56"/>
        <v>0</v>
      </c>
      <c r="K70" s="97">
        <f t="shared" si="57"/>
        <v>0</v>
      </c>
      <c r="L70" s="97">
        <f t="shared" si="58"/>
        <v>0</v>
      </c>
      <c r="M70" s="97">
        <f t="shared" si="59"/>
        <v>0</v>
      </c>
      <c r="N70" s="97">
        <f>'Stavební rozpočet'!N70</f>
        <v>0</v>
      </c>
      <c r="O70" s="97">
        <f t="shared" si="60"/>
        <v>0</v>
      </c>
      <c r="P70" s="99" t="s">
        <v>156</v>
      </c>
      <c r="Z70" s="55">
        <f t="shared" si="61"/>
        <v>0</v>
      </c>
      <c r="AB70" s="55">
        <f t="shared" si="62"/>
        <v>0</v>
      </c>
      <c r="AC70" s="55">
        <f t="shared" si="63"/>
        <v>0</v>
      </c>
      <c r="AD70" s="55">
        <f t="shared" si="64"/>
        <v>0</v>
      </c>
      <c r="AE70" s="55">
        <f t="shared" si="65"/>
        <v>0</v>
      </c>
      <c r="AF70" s="55">
        <f t="shared" si="66"/>
        <v>0</v>
      </c>
      <c r="AG70" s="55">
        <f t="shared" si="67"/>
        <v>0</v>
      </c>
      <c r="AH70" s="55">
        <f t="shared" si="68"/>
        <v>0</v>
      </c>
      <c r="AI70" s="75" t="s">
        <v>103</v>
      </c>
      <c r="AJ70" s="55">
        <f t="shared" si="69"/>
        <v>0</v>
      </c>
      <c r="AK70" s="55">
        <f t="shared" si="70"/>
        <v>0</v>
      </c>
      <c r="AL70" s="55">
        <f t="shared" si="71"/>
        <v>0</v>
      </c>
      <c r="AN70" s="55">
        <v>21</v>
      </c>
      <c r="AO70" s="55">
        <f>H70*0</f>
        <v>0</v>
      </c>
      <c r="AP70" s="55">
        <f>H70*(1-0)</f>
        <v>0</v>
      </c>
      <c r="AQ70" s="54" t="s">
        <v>152</v>
      </c>
      <c r="AV70" s="55">
        <f t="shared" si="72"/>
        <v>0</v>
      </c>
      <c r="AW70" s="55">
        <f t="shared" si="73"/>
        <v>0</v>
      </c>
      <c r="AX70" s="55">
        <f t="shared" si="74"/>
        <v>0</v>
      </c>
      <c r="AY70" s="54" t="s">
        <v>329</v>
      </c>
      <c r="AZ70" s="54" t="s">
        <v>289</v>
      </c>
      <c r="BA70" s="75" t="s">
        <v>160</v>
      </c>
      <c r="BC70" s="55">
        <f t="shared" si="75"/>
        <v>0</v>
      </c>
      <c r="BD70" s="55">
        <f t="shared" si="76"/>
        <v>0</v>
      </c>
      <c r="BE70" s="55">
        <v>0</v>
      </c>
      <c r="BF70" s="55">
        <f t="shared" si="77"/>
        <v>0</v>
      </c>
      <c r="BH70" s="55">
        <f t="shared" si="78"/>
        <v>0</v>
      </c>
      <c r="BI70" s="55">
        <f t="shared" si="79"/>
        <v>0</v>
      </c>
      <c r="BJ70" s="55">
        <f t="shared" si="80"/>
        <v>0</v>
      </c>
      <c r="BK70" s="54" t="s">
        <v>161</v>
      </c>
      <c r="BL70" s="55">
        <v>96</v>
      </c>
      <c r="BW70" s="55">
        <f t="shared" si="81"/>
        <v>21</v>
      </c>
      <c r="BX70" s="16" t="s">
        <v>332</v>
      </c>
    </row>
    <row r="71" spans="1:76" ht="15" customHeight="1" x14ac:dyDescent="0.3">
      <c r="A71" s="94" t="s">
        <v>333</v>
      </c>
      <c r="B71" s="94" t="s">
        <v>103</v>
      </c>
      <c r="C71" s="94" t="s">
        <v>334</v>
      </c>
      <c r="D71" s="199" t="s">
        <v>335</v>
      </c>
      <c r="E71" s="199"/>
      <c r="F71" s="94" t="s">
        <v>155</v>
      </c>
      <c r="G71" s="96">
        <f>'Stavební rozpočet'!G71</f>
        <v>27.82</v>
      </c>
      <c r="H71" s="97">
        <f>'Stavební rozpočet'!H71</f>
        <v>0</v>
      </c>
      <c r="I71" s="98">
        <v>21</v>
      </c>
      <c r="J71" s="97">
        <f t="shared" si="56"/>
        <v>0</v>
      </c>
      <c r="K71" s="97">
        <f t="shared" si="57"/>
        <v>0</v>
      </c>
      <c r="L71" s="97">
        <f t="shared" si="58"/>
        <v>0</v>
      </c>
      <c r="M71" s="97">
        <f t="shared" si="59"/>
        <v>0</v>
      </c>
      <c r="N71" s="97">
        <f>'Stavební rozpočet'!N71</f>
        <v>7.7170000000000002E-2</v>
      </c>
      <c r="O71" s="97">
        <f t="shared" si="60"/>
        <v>2.1468693999999999</v>
      </c>
      <c r="P71" s="99" t="s">
        <v>156</v>
      </c>
      <c r="Z71" s="55">
        <f t="shared" si="61"/>
        <v>0</v>
      </c>
      <c r="AB71" s="55">
        <f t="shared" si="62"/>
        <v>0</v>
      </c>
      <c r="AC71" s="55">
        <f t="shared" si="63"/>
        <v>0</v>
      </c>
      <c r="AD71" s="55">
        <f t="shared" si="64"/>
        <v>0</v>
      </c>
      <c r="AE71" s="55">
        <f t="shared" si="65"/>
        <v>0</v>
      </c>
      <c r="AF71" s="55">
        <f t="shared" si="66"/>
        <v>0</v>
      </c>
      <c r="AG71" s="55">
        <f t="shared" si="67"/>
        <v>0</v>
      </c>
      <c r="AH71" s="55">
        <f t="shared" si="68"/>
        <v>0</v>
      </c>
      <c r="AI71" s="75" t="s">
        <v>103</v>
      </c>
      <c r="AJ71" s="55">
        <f t="shared" si="69"/>
        <v>0</v>
      </c>
      <c r="AK71" s="55">
        <f t="shared" si="70"/>
        <v>0</v>
      </c>
      <c r="AL71" s="55">
        <f t="shared" si="71"/>
        <v>0</v>
      </c>
      <c r="AN71" s="55">
        <v>21</v>
      </c>
      <c r="AO71" s="55">
        <f>H71*0.060908037</f>
        <v>0</v>
      </c>
      <c r="AP71" s="55">
        <f>H71*(1-0.060908037)</f>
        <v>0</v>
      </c>
      <c r="AQ71" s="54" t="s">
        <v>152</v>
      </c>
      <c r="AV71" s="55">
        <f t="shared" si="72"/>
        <v>0</v>
      </c>
      <c r="AW71" s="55">
        <f t="shared" si="73"/>
        <v>0</v>
      </c>
      <c r="AX71" s="55">
        <f t="shared" si="74"/>
        <v>0</v>
      </c>
      <c r="AY71" s="54" t="s">
        <v>329</v>
      </c>
      <c r="AZ71" s="54" t="s">
        <v>289</v>
      </c>
      <c r="BA71" s="75" t="s">
        <v>160</v>
      </c>
      <c r="BC71" s="55">
        <f t="shared" si="75"/>
        <v>0</v>
      </c>
      <c r="BD71" s="55">
        <f t="shared" si="76"/>
        <v>0</v>
      </c>
      <c r="BE71" s="55">
        <v>0</v>
      </c>
      <c r="BF71" s="55">
        <f t="shared" si="77"/>
        <v>2.1468693999999999</v>
      </c>
      <c r="BH71" s="55">
        <f t="shared" si="78"/>
        <v>0</v>
      </c>
      <c r="BI71" s="55">
        <f t="shared" si="79"/>
        <v>0</v>
      </c>
      <c r="BJ71" s="55">
        <f t="shared" si="80"/>
        <v>0</v>
      </c>
      <c r="BK71" s="54" t="s">
        <v>161</v>
      </c>
      <c r="BL71" s="55">
        <v>96</v>
      </c>
      <c r="BW71" s="55">
        <f t="shared" si="81"/>
        <v>21</v>
      </c>
      <c r="BX71" s="16" t="s">
        <v>335</v>
      </c>
    </row>
    <row r="72" spans="1:76" ht="15" customHeight="1" x14ac:dyDescent="0.3">
      <c r="A72" s="94" t="s">
        <v>336</v>
      </c>
      <c r="B72" s="94" t="s">
        <v>103</v>
      </c>
      <c r="C72" s="94" t="s">
        <v>337</v>
      </c>
      <c r="D72" s="199" t="s">
        <v>338</v>
      </c>
      <c r="E72" s="199"/>
      <c r="F72" s="94" t="s">
        <v>212</v>
      </c>
      <c r="G72" s="96">
        <f>'Stavební rozpočet'!G72</f>
        <v>24</v>
      </c>
      <c r="H72" s="97">
        <f>'Stavební rozpočet'!H72</f>
        <v>0</v>
      </c>
      <c r="I72" s="98">
        <v>21</v>
      </c>
      <c r="J72" s="97">
        <f t="shared" si="56"/>
        <v>0</v>
      </c>
      <c r="K72" s="97">
        <f t="shared" si="57"/>
        <v>0</v>
      </c>
      <c r="L72" s="97">
        <f t="shared" si="58"/>
        <v>0</v>
      </c>
      <c r="M72" s="97">
        <f t="shared" si="59"/>
        <v>0</v>
      </c>
      <c r="N72" s="97">
        <f>'Stavební rozpočet'!N72</f>
        <v>2.1000000000000001E-2</v>
      </c>
      <c r="O72" s="97">
        <f t="shared" si="60"/>
        <v>0.504</v>
      </c>
      <c r="P72" s="99" t="s">
        <v>156</v>
      </c>
      <c r="Z72" s="55">
        <f t="shared" si="61"/>
        <v>0</v>
      </c>
      <c r="AB72" s="55">
        <f t="shared" si="62"/>
        <v>0</v>
      </c>
      <c r="AC72" s="55">
        <f t="shared" si="63"/>
        <v>0</v>
      </c>
      <c r="AD72" s="55">
        <f t="shared" si="64"/>
        <v>0</v>
      </c>
      <c r="AE72" s="55">
        <f t="shared" si="65"/>
        <v>0</v>
      </c>
      <c r="AF72" s="55">
        <f t="shared" si="66"/>
        <v>0</v>
      </c>
      <c r="AG72" s="55">
        <f t="shared" si="67"/>
        <v>0</v>
      </c>
      <c r="AH72" s="55">
        <f t="shared" si="68"/>
        <v>0</v>
      </c>
      <c r="AI72" s="75" t="s">
        <v>103</v>
      </c>
      <c r="AJ72" s="55">
        <f t="shared" si="69"/>
        <v>0</v>
      </c>
      <c r="AK72" s="55">
        <f t="shared" si="70"/>
        <v>0</v>
      </c>
      <c r="AL72" s="55">
        <f t="shared" si="71"/>
        <v>0</v>
      </c>
      <c r="AN72" s="55">
        <v>21</v>
      </c>
      <c r="AO72" s="55">
        <f>H72*0</f>
        <v>0</v>
      </c>
      <c r="AP72" s="55">
        <f>H72*(1-0)</f>
        <v>0</v>
      </c>
      <c r="AQ72" s="54" t="s">
        <v>152</v>
      </c>
      <c r="AV72" s="55">
        <f t="shared" si="72"/>
        <v>0</v>
      </c>
      <c r="AW72" s="55">
        <f t="shared" si="73"/>
        <v>0</v>
      </c>
      <c r="AX72" s="55">
        <f t="shared" si="74"/>
        <v>0</v>
      </c>
      <c r="AY72" s="54" t="s">
        <v>329</v>
      </c>
      <c r="AZ72" s="54" t="s">
        <v>289</v>
      </c>
      <c r="BA72" s="75" t="s">
        <v>160</v>
      </c>
      <c r="BC72" s="55">
        <f t="shared" si="75"/>
        <v>0</v>
      </c>
      <c r="BD72" s="55">
        <f t="shared" si="76"/>
        <v>0</v>
      </c>
      <c r="BE72" s="55">
        <v>0</v>
      </c>
      <c r="BF72" s="55">
        <f t="shared" si="77"/>
        <v>0.504</v>
      </c>
      <c r="BH72" s="55">
        <f t="shared" si="78"/>
        <v>0</v>
      </c>
      <c r="BI72" s="55">
        <f t="shared" si="79"/>
        <v>0</v>
      </c>
      <c r="BJ72" s="55">
        <f t="shared" si="80"/>
        <v>0</v>
      </c>
      <c r="BK72" s="54" t="s">
        <v>161</v>
      </c>
      <c r="BL72" s="55">
        <v>96</v>
      </c>
      <c r="BW72" s="55">
        <f t="shared" si="81"/>
        <v>21</v>
      </c>
      <c r="BX72" s="16" t="s">
        <v>338</v>
      </c>
    </row>
    <row r="73" spans="1:76" ht="15" customHeight="1" x14ac:dyDescent="0.3">
      <c r="A73" s="94" t="s">
        <v>339</v>
      </c>
      <c r="B73" s="94" t="s">
        <v>103</v>
      </c>
      <c r="C73" s="94" t="s">
        <v>340</v>
      </c>
      <c r="D73" s="199" t="s">
        <v>341</v>
      </c>
      <c r="E73" s="199"/>
      <c r="F73" s="94" t="s">
        <v>155</v>
      </c>
      <c r="G73" s="96">
        <f>'Stavební rozpočet'!G73</f>
        <v>24</v>
      </c>
      <c r="H73" s="97">
        <f>'Stavební rozpočet'!H73</f>
        <v>0</v>
      </c>
      <c r="I73" s="98">
        <v>21</v>
      </c>
      <c r="J73" s="97">
        <f t="shared" si="56"/>
        <v>0</v>
      </c>
      <c r="K73" s="97">
        <f t="shared" si="57"/>
        <v>0</v>
      </c>
      <c r="L73" s="97">
        <f t="shared" si="58"/>
        <v>0</v>
      </c>
      <c r="M73" s="97">
        <f t="shared" si="59"/>
        <v>0</v>
      </c>
      <c r="N73" s="97">
        <f>'Stavební rozpočet'!N73</f>
        <v>2.792E-2</v>
      </c>
      <c r="O73" s="97">
        <f t="shared" si="60"/>
        <v>0.67008000000000001</v>
      </c>
      <c r="P73" s="99" t="s">
        <v>156</v>
      </c>
      <c r="Z73" s="55">
        <f t="shared" si="61"/>
        <v>0</v>
      </c>
      <c r="AB73" s="55">
        <f t="shared" si="62"/>
        <v>0</v>
      </c>
      <c r="AC73" s="55">
        <f t="shared" si="63"/>
        <v>0</v>
      </c>
      <c r="AD73" s="55">
        <f t="shared" si="64"/>
        <v>0</v>
      </c>
      <c r="AE73" s="55">
        <f t="shared" si="65"/>
        <v>0</v>
      </c>
      <c r="AF73" s="55">
        <f t="shared" si="66"/>
        <v>0</v>
      </c>
      <c r="AG73" s="55">
        <f t="shared" si="67"/>
        <v>0</v>
      </c>
      <c r="AH73" s="55">
        <f t="shared" si="68"/>
        <v>0</v>
      </c>
      <c r="AI73" s="75" t="s">
        <v>103</v>
      </c>
      <c r="AJ73" s="55">
        <f t="shared" si="69"/>
        <v>0</v>
      </c>
      <c r="AK73" s="55">
        <f t="shared" si="70"/>
        <v>0</v>
      </c>
      <c r="AL73" s="55">
        <f t="shared" si="71"/>
        <v>0</v>
      </c>
      <c r="AN73" s="55">
        <v>21</v>
      </c>
      <c r="AO73" s="55">
        <f>H73*0.151371754</f>
        <v>0</v>
      </c>
      <c r="AP73" s="55">
        <f>H73*(1-0.151371754)</f>
        <v>0</v>
      </c>
      <c r="AQ73" s="54" t="s">
        <v>152</v>
      </c>
      <c r="AV73" s="55">
        <f t="shared" si="72"/>
        <v>0</v>
      </c>
      <c r="AW73" s="55">
        <f t="shared" si="73"/>
        <v>0</v>
      </c>
      <c r="AX73" s="55">
        <f t="shared" si="74"/>
        <v>0</v>
      </c>
      <c r="AY73" s="54" t="s">
        <v>329</v>
      </c>
      <c r="AZ73" s="54" t="s">
        <v>289</v>
      </c>
      <c r="BA73" s="75" t="s">
        <v>160</v>
      </c>
      <c r="BC73" s="55">
        <f t="shared" si="75"/>
        <v>0</v>
      </c>
      <c r="BD73" s="55">
        <f t="shared" si="76"/>
        <v>0</v>
      </c>
      <c r="BE73" s="55">
        <v>0</v>
      </c>
      <c r="BF73" s="55">
        <f t="shared" si="77"/>
        <v>0.67008000000000001</v>
      </c>
      <c r="BH73" s="55">
        <f t="shared" si="78"/>
        <v>0</v>
      </c>
      <c r="BI73" s="55">
        <f t="shared" si="79"/>
        <v>0</v>
      </c>
      <c r="BJ73" s="55">
        <f t="shared" si="80"/>
        <v>0</v>
      </c>
      <c r="BK73" s="54" t="s">
        <v>161</v>
      </c>
      <c r="BL73" s="55">
        <v>96</v>
      </c>
      <c r="BW73" s="55">
        <f t="shared" si="81"/>
        <v>21</v>
      </c>
      <c r="BX73" s="16" t="s">
        <v>341</v>
      </c>
    </row>
    <row r="74" spans="1:76" ht="15" customHeight="1" x14ac:dyDescent="0.3">
      <c r="A74" s="94" t="s">
        <v>342</v>
      </c>
      <c r="B74" s="94" t="s">
        <v>103</v>
      </c>
      <c r="C74" s="94" t="s">
        <v>343</v>
      </c>
      <c r="D74" s="199" t="s">
        <v>344</v>
      </c>
      <c r="E74" s="199"/>
      <c r="F74" s="94" t="s">
        <v>155</v>
      </c>
      <c r="G74" s="96">
        <f>'Stavební rozpočet'!G74</f>
        <v>32.64</v>
      </c>
      <c r="H74" s="97">
        <f>'Stavební rozpočet'!H74</f>
        <v>0</v>
      </c>
      <c r="I74" s="98">
        <v>21</v>
      </c>
      <c r="J74" s="97">
        <f t="shared" si="56"/>
        <v>0</v>
      </c>
      <c r="K74" s="97">
        <f t="shared" si="57"/>
        <v>0</v>
      </c>
      <c r="L74" s="97">
        <f t="shared" si="58"/>
        <v>0</v>
      </c>
      <c r="M74" s="97">
        <f t="shared" si="59"/>
        <v>0</v>
      </c>
      <c r="N74" s="97">
        <f>'Stavební rozpočet'!N74</f>
        <v>3.2000000000000001E-2</v>
      </c>
      <c r="O74" s="97">
        <f t="shared" si="60"/>
        <v>1.0444800000000001</v>
      </c>
      <c r="P74" s="99" t="s">
        <v>156</v>
      </c>
      <c r="Z74" s="55">
        <f t="shared" si="61"/>
        <v>0</v>
      </c>
      <c r="AB74" s="55">
        <f t="shared" si="62"/>
        <v>0</v>
      </c>
      <c r="AC74" s="55">
        <f t="shared" si="63"/>
        <v>0</v>
      </c>
      <c r="AD74" s="55">
        <f t="shared" si="64"/>
        <v>0</v>
      </c>
      <c r="AE74" s="55">
        <f t="shared" si="65"/>
        <v>0</v>
      </c>
      <c r="AF74" s="55">
        <f t="shared" si="66"/>
        <v>0</v>
      </c>
      <c r="AG74" s="55">
        <f t="shared" si="67"/>
        <v>0</v>
      </c>
      <c r="AH74" s="55">
        <f t="shared" si="68"/>
        <v>0</v>
      </c>
      <c r="AI74" s="75" t="s">
        <v>103</v>
      </c>
      <c r="AJ74" s="55">
        <f t="shared" si="69"/>
        <v>0</v>
      </c>
      <c r="AK74" s="55">
        <f t="shared" si="70"/>
        <v>0</v>
      </c>
      <c r="AL74" s="55">
        <f t="shared" si="71"/>
        <v>0</v>
      </c>
      <c r="AN74" s="55">
        <v>21</v>
      </c>
      <c r="AO74" s="55">
        <f>H74*0.133990207</f>
        <v>0</v>
      </c>
      <c r="AP74" s="55">
        <f>H74*(1-0.133990207)</f>
        <v>0</v>
      </c>
      <c r="AQ74" s="54" t="s">
        <v>152</v>
      </c>
      <c r="AV74" s="55">
        <f t="shared" si="72"/>
        <v>0</v>
      </c>
      <c r="AW74" s="55">
        <f t="shared" si="73"/>
        <v>0</v>
      </c>
      <c r="AX74" s="55">
        <f t="shared" si="74"/>
        <v>0</v>
      </c>
      <c r="AY74" s="54" t="s">
        <v>329</v>
      </c>
      <c r="AZ74" s="54" t="s">
        <v>289</v>
      </c>
      <c r="BA74" s="75" t="s">
        <v>160</v>
      </c>
      <c r="BC74" s="55">
        <f t="shared" si="75"/>
        <v>0</v>
      </c>
      <c r="BD74" s="55">
        <f t="shared" si="76"/>
        <v>0</v>
      </c>
      <c r="BE74" s="55">
        <v>0</v>
      </c>
      <c r="BF74" s="55">
        <f t="shared" si="77"/>
        <v>1.0444800000000001</v>
      </c>
      <c r="BH74" s="55">
        <f t="shared" si="78"/>
        <v>0</v>
      </c>
      <c r="BI74" s="55">
        <f t="shared" si="79"/>
        <v>0</v>
      </c>
      <c r="BJ74" s="55">
        <f t="shared" si="80"/>
        <v>0</v>
      </c>
      <c r="BK74" s="54" t="s">
        <v>161</v>
      </c>
      <c r="BL74" s="55">
        <v>96</v>
      </c>
      <c r="BW74" s="55">
        <f t="shared" si="81"/>
        <v>21</v>
      </c>
      <c r="BX74" s="16" t="s">
        <v>344</v>
      </c>
    </row>
    <row r="75" spans="1:76" ht="15" customHeight="1" x14ac:dyDescent="0.3">
      <c r="A75" s="94" t="s">
        <v>345</v>
      </c>
      <c r="B75" s="94" t="s">
        <v>103</v>
      </c>
      <c r="C75" s="94" t="s">
        <v>346</v>
      </c>
      <c r="D75" s="199" t="s">
        <v>347</v>
      </c>
      <c r="E75" s="199"/>
      <c r="F75" s="94" t="s">
        <v>212</v>
      </c>
      <c r="G75" s="96">
        <f>'Stavební rozpočet'!G75</f>
        <v>4</v>
      </c>
      <c r="H75" s="97">
        <f>'Stavební rozpočet'!H75</f>
        <v>0</v>
      </c>
      <c r="I75" s="98">
        <v>21</v>
      </c>
      <c r="J75" s="97">
        <f t="shared" si="56"/>
        <v>0</v>
      </c>
      <c r="K75" s="97">
        <f t="shared" si="57"/>
        <v>0</v>
      </c>
      <c r="L75" s="97">
        <f t="shared" si="58"/>
        <v>0</v>
      </c>
      <c r="M75" s="97">
        <f t="shared" si="59"/>
        <v>0</v>
      </c>
      <c r="N75" s="97">
        <f>'Stavební rozpočet'!N75</f>
        <v>0</v>
      </c>
      <c r="O75" s="97">
        <f t="shared" si="60"/>
        <v>0</v>
      </c>
      <c r="P75" s="99" t="s">
        <v>156</v>
      </c>
      <c r="Z75" s="55">
        <f t="shared" si="61"/>
        <v>0</v>
      </c>
      <c r="AB75" s="55">
        <f t="shared" si="62"/>
        <v>0</v>
      </c>
      <c r="AC75" s="55">
        <f t="shared" si="63"/>
        <v>0</v>
      </c>
      <c r="AD75" s="55">
        <f t="shared" si="64"/>
        <v>0</v>
      </c>
      <c r="AE75" s="55">
        <f t="shared" si="65"/>
        <v>0</v>
      </c>
      <c r="AF75" s="55">
        <f t="shared" si="66"/>
        <v>0</v>
      </c>
      <c r="AG75" s="55">
        <f t="shared" si="67"/>
        <v>0</v>
      </c>
      <c r="AH75" s="55">
        <f t="shared" si="68"/>
        <v>0</v>
      </c>
      <c r="AI75" s="75" t="s">
        <v>103</v>
      </c>
      <c r="AJ75" s="55">
        <f t="shared" si="69"/>
        <v>0</v>
      </c>
      <c r="AK75" s="55">
        <f t="shared" si="70"/>
        <v>0</v>
      </c>
      <c r="AL75" s="55">
        <f t="shared" si="71"/>
        <v>0</v>
      </c>
      <c r="AN75" s="55">
        <v>21</v>
      </c>
      <c r="AO75" s="55">
        <f>H75*0</f>
        <v>0</v>
      </c>
      <c r="AP75" s="55">
        <f>H75*(1-0)</f>
        <v>0</v>
      </c>
      <c r="AQ75" s="54" t="s">
        <v>152</v>
      </c>
      <c r="AV75" s="55">
        <f t="shared" si="72"/>
        <v>0</v>
      </c>
      <c r="AW75" s="55">
        <f t="shared" si="73"/>
        <v>0</v>
      </c>
      <c r="AX75" s="55">
        <f t="shared" si="74"/>
        <v>0</v>
      </c>
      <c r="AY75" s="54" t="s">
        <v>329</v>
      </c>
      <c r="AZ75" s="54" t="s">
        <v>289</v>
      </c>
      <c r="BA75" s="75" t="s">
        <v>160</v>
      </c>
      <c r="BC75" s="55">
        <f t="shared" si="75"/>
        <v>0</v>
      </c>
      <c r="BD75" s="55">
        <f t="shared" si="76"/>
        <v>0</v>
      </c>
      <c r="BE75" s="55">
        <v>0</v>
      </c>
      <c r="BF75" s="55">
        <f t="shared" si="77"/>
        <v>0</v>
      </c>
      <c r="BH75" s="55">
        <f t="shared" si="78"/>
        <v>0</v>
      </c>
      <c r="BI75" s="55">
        <f t="shared" si="79"/>
        <v>0</v>
      </c>
      <c r="BJ75" s="55">
        <f t="shared" si="80"/>
        <v>0</v>
      </c>
      <c r="BK75" s="54" t="s">
        <v>161</v>
      </c>
      <c r="BL75" s="55">
        <v>96</v>
      </c>
      <c r="BW75" s="55">
        <f t="shared" si="81"/>
        <v>21</v>
      </c>
      <c r="BX75" s="16" t="s">
        <v>347</v>
      </c>
    </row>
    <row r="76" spans="1:76" ht="15" customHeight="1" x14ac:dyDescent="0.3">
      <c r="A76" s="94" t="s">
        <v>348</v>
      </c>
      <c r="B76" s="94" t="s">
        <v>103</v>
      </c>
      <c r="C76" s="94" t="s">
        <v>349</v>
      </c>
      <c r="D76" s="199" t="s">
        <v>350</v>
      </c>
      <c r="E76" s="199"/>
      <c r="F76" s="94" t="s">
        <v>155</v>
      </c>
      <c r="G76" s="96">
        <f>'Stavební rozpočet'!G76</f>
        <v>6.0819999999999999</v>
      </c>
      <c r="H76" s="97">
        <f>'Stavební rozpočet'!H76</f>
        <v>0</v>
      </c>
      <c r="I76" s="98">
        <v>21</v>
      </c>
      <c r="J76" s="97">
        <f t="shared" si="56"/>
        <v>0</v>
      </c>
      <c r="K76" s="97">
        <f t="shared" si="57"/>
        <v>0</v>
      </c>
      <c r="L76" s="97">
        <f t="shared" si="58"/>
        <v>0</v>
      </c>
      <c r="M76" s="97">
        <f t="shared" si="59"/>
        <v>0</v>
      </c>
      <c r="N76" s="97">
        <f>'Stavební rozpočet'!N76</f>
        <v>6.4000000000000001E-2</v>
      </c>
      <c r="O76" s="97">
        <f t="shared" si="60"/>
        <v>0.38924799999999998</v>
      </c>
      <c r="P76" s="99" t="s">
        <v>156</v>
      </c>
      <c r="Z76" s="55">
        <f t="shared" si="61"/>
        <v>0</v>
      </c>
      <c r="AB76" s="55">
        <f t="shared" si="62"/>
        <v>0</v>
      </c>
      <c r="AC76" s="55">
        <f t="shared" si="63"/>
        <v>0</v>
      </c>
      <c r="AD76" s="55">
        <f t="shared" si="64"/>
        <v>0</v>
      </c>
      <c r="AE76" s="55">
        <f t="shared" si="65"/>
        <v>0</v>
      </c>
      <c r="AF76" s="55">
        <f t="shared" si="66"/>
        <v>0</v>
      </c>
      <c r="AG76" s="55">
        <f t="shared" si="67"/>
        <v>0</v>
      </c>
      <c r="AH76" s="55">
        <f t="shared" si="68"/>
        <v>0</v>
      </c>
      <c r="AI76" s="75" t="s">
        <v>103</v>
      </c>
      <c r="AJ76" s="55">
        <f t="shared" si="69"/>
        <v>0</v>
      </c>
      <c r="AK76" s="55">
        <f t="shared" si="70"/>
        <v>0</v>
      </c>
      <c r="AL76" s="55">
        <f t="shared" si="71"/>
        <v>0</v>
      </c>
      <c r="AN76" s="55">
        <v>21</v>
      </c>
      <c r="AO76" s="55">
        <f>H76*0.067541058</f>
        <v>0</v>
      </c>
      <c r="AP76" s="55">
        <f>H76*(1-0.067541058)</f>
        <v>0</v>
      </c>
      <c r="AQ76" s="54" t="s">
        <v>152</v>
      </c>
      <c r="AV76" s="55">
        <f t="shared" si="72"/>
        <v>0</v>
      </c>
      <c r="AW76" s="55">
        <f t="shared" si="73"/>
        <v>0</v>
      </c>
      <c r="AX76" s="55">
        <f t="shared" si="74"/>
        <v>0</v>
      </c>
      <c r="AY76" s="54" t="s">
        <v>329</v>
      </c>
      <c r="AZ76" s="54" t="s">
        <v>289</v>
      </c>
      <c r="BA76" s="75" t="s">
        <v>160</v>
      </c>
      <c r="BC76" s="55">
        <f t="shared" si="75"/>
        <v>0</v>
      </c>
      <c r="BD76" s="55">
        <f t="shared" si="76"/>
        <v>0</v>
      </c>
      <c r="BE76" s="55">
        <v>0</v>
      </c>
      <c r="BF76" s="55">
        <f t="shared" si="77"/>
        <v>0.38924799999999998</v>
      </c>
      <c r="BH76" s="55">
        <f t="shared" si="78"/>
        <v>0</v>
      </c>
      <c r="BI76" s="55">
        <f t="shared" si="79"/>
        <v>0</v>
      </c>
      <c r="BJ76" s="55">
        <f t="shared" si="80"/>
        <v>0</v>
      </c>
      <c r="BK76" s="54" t="s">
        <v>161</v>
      </c>
      <c r="BL76" s="55">
        <v>96</v>
      </c>
      <c r="BW76" s="55">
        <f t="shared" si="81"/>
        <v>21</v>
      </c>
      <c r="BX76" s="16" t="s">
        <v>350</v>
      </c>
    </row>
    <row r="77" spans="1:76" ht="15" customHeight="1" x14ac:dyDescent="0.3">
      <c r="A77" s="94" t="s">
        <v>351</v>
      </c>
      <c r="B77" s="94" t="s">
        <v>103</v>
      </c>
      <c r="C77" s="94" t="s">
        <v>352</v>
      </c>
      <c r="D77" s="199" t="s">
        <v>353</v>
      </c>
      <c r="E77" s="199"/>
      <c r="F77" s="94" t="s">
        <v>155</v>
      </c>
      <c r="G77" s="96">
        <f>'Stavební rozpočet'!G77</f>
        <v>2.4</v>
      </c>
      <c r="H77" s="97">
        <f>'Stavební rozpočet'!H77</f>
        <v>0</v>
      </c>
      <c r="I77" s="98">
        <v>21</v>
      </c>
      <c r="J77" s="97">
        <f t="shared" si="56"/>
        <v>0</v>
      </c>
      <c r="K77" s="97">
        <f t="shared" si="57"/>
        <v>0</v>
      </c>
      <c r="L77" s="97">
        <f t="shared" si="58"/>
        <v>0</v>
      </c>
      <c r="M77" s="97">
        <f t="shared" si="59"/>
        <v>0</v>
      </c>
      <c r="N77" s="97">
        <f>'Stavební rozpočet'!N77</f>
        <v>6.8040000000000003E-2</v>
      </c>
      <c r="O77" s="97">
        <f t="shared" si="60"/>
        <v>0.163296</v>
      </c>
      <c r="P77" s="99" t="s">
        <v>156</v>
      </c>
      <c r="Z77" s="55">
        <f t="shared" si="61"/>
        <v>0</v>
      </c>
      <c r="AB77" s="55">
        <f t="shared" si="62"/>
        <v>0</v>
      </c>
      <c r="AC77" s="55">
        <f t="shared" si="63"/>
        <v>0</v>
      </c>
      <c r="AD77" s="55">
        <f t="shared" si="64"/>
        <v>0</v>
      </c>
      <c r="AE77" s="55">
        <f t="shared" si="65"/>
        <v>0</v>
      </c>
      <c r="AF77" s="55">
        <f t="shared" si="66"/>
        <v>0</v>
      </c>
      <c r="AG77" s="55">
        <f t="shared" si="67"/>
        <v>0</v>
      </c>
      <c r="AH77" s="55">
        <f t="shared" si="68"/>
        <v>0</v>
      </c>
      <c r="AI77" s="75" t="s">
        <v>103</v>
      </c>
      <c r="AJ77" s="55">
        <f t="shared" si="69"/>
        <v>0</v>
      </c>
      <c r="AK77" s="55">
        <f t="shared" si="70"/>
        <v>0</v>
      </c>
      <c r="AL77" s="55">
        <f t="shared" si="71"/>
        <v>0</v>
      </c>
      <c r="AN77" s="55">
        <v>21</v>
      </c>
      <c r="AO77" s="55">
        <f>H77*0.14492635</f>
        <v>0</v>
      </c>
      <c r="AP77" s="55">
        <f>H77*(1-0.14492635)</f>
        <v>0</v>
      </c>
      <c r="AQ77" s="54" t="s">
        <v>152</v>
      </c>
      <c r="AV77" s="55">
        <f t="shared" si="72"/>
        <v>0</v>
      </c>
      <c r="AW77" s="55">
        <f t="shared" si="73"/>
        <v>0</v>
      </c>
      <c r="AX77" s="55">
        <f t="shared" si="74"/>
        <v>0</v>
      </c>
      <c r="AY77" s="54" t="s">
        <v>329</v>
      </c>
      <c r="AZ77" s="54" t="s">
        <v>289</v>
      </c>
      <c r="BA77" s="75" t="s">
        <v>160</v>
      </c>
      <c r="BC77" s="55">
        <f t="shared" si="75"/>
        <v>0</v>
      </c>
      <c r="BD77" s="55">
        <f t="shared" si="76"/>
        <v>0</v>
      </c>
      <c r="BE77" s="55">
        <v>0</v>
      </c>
      <c r="BF77" s="55">
        <f t="shared" si="77"/>
        <v>0.163296</v>
      </c>
      <c r="BH77" s="55">
        <f t="shared" si="78"/>
        <v>0</v>
      </c>
      <c r="BI77" s="55">
        <f t="shared" si="79"/>
        <v>0</v>
      </c>
      <c r="BJ77" s="55">
        <f t="shared" si="80"/>
        <v>0</v>
      </c>
      <c r="BK77" s="54" t="s">
        <v>161</v>
      </c>
      <c r="BL77" s="55">
        <v>96</v>
      </c>
      <c r="BW77" s="55">
        <f t="shared" si="81"/>
        <v>21</v>
      </c>
      <c r="BX77" s="16" t="s">
        <v>353</v>
      </c>
    </row>
    <row r="78" spans="1:76" ht="15" customHeight="1" x14ac:dyDescent="0.3">
      <c r="A78" s="94" t="s">
        <v>354</v>
      </c>
      <c r="B78" s="94" t="s">
        <v>103</v>
      </c>
      <c r="C78" s="94" t="s">
        <v>355</v>
      </c>
      <c r="D78" s="199" t="s">
        <v>356</v>
      </c>
      <c r="E78" s="199"/>
      <c r="F78" s="94" t="s">
        <v>212</v>
      </c>
      <c r="G78" s="96">
        <f>'Stavební rozpočet'!G78</f>
        <v>6</v>
      </c>
      <c r="H78" s="97">
        <f>'Stavební rozpočet'!H78</f>
        <v>0</v>
      </c>
      <c r="I78" s="98">
        <v>21</v>
      </c>
      <c r="J78" s="97">
        <f t="shared" si="56"/>
        <v>0</v>
      </c>
      <c r="K78" s="97">
        <f t="shared" si="57"/>
        <v>0</v>
      </c>
      <c r="L78" s="97">
        <f t="shared" si="58"/>
        <v>0</v>
      </c>
      <c r="M78" s="97">
        <f t="shared" si="59"/>
        <v>0</v>
      </c>
      <c r="N78" s="97">
        <f>'Stavební rozpočet'!N78</f>
        <v>0</v>
      </c>
      <c r="O78" s="97">
        <f t="shared" si="60"/>
        <v>0</v>
      </c>
      <c r="P78" s="99" t="s">
        <v>156</v>
      </c>
      <c r="Z78" s="55">
        <f t="shared" si="61"/>
        <v>0</v>
      </c>
      <c r="AB78" s="55">
        <f t="shared" si="62"/>
        <v>0</v>
      </c>
      <c r="AC78" s="55">
        <f t="shared" si="63"/>
        <v>0</v>
      </c>
      <c r="AD78" s="55">
        <f t="shared" si="64"/>
        <v>0</v>
      </c>
      <c r="AE78" s="55">
        <f t="shared" si="65"/>
        <v>0</v>
      </c>
      <c r="AF78" s="55">
        <f t="shared" si="66"/>
        <v>0</v>
      </c>
      <c r="AG78" s="55">
        <f t="shared" si="67"/>
        <v>0</v>
      </c>
      <c r="AH78" s="55">
        <f t="shared" si="68"/>
        <v>0</v>
      </c>
      <c r="AI78" s="75" t="s">
        <v>103</v>
      </c>
      <c r="AJ78" s="55">
        <f t="shared" si="69"/>
        <v>0</v>
      </c>
      <c r="AK78" s="55">
        <f t="shared" si="70"/>
        <v>0</v>
      </c>
      <c r="AL78" s="55">
        <f t="shared" si="71"/>
        <v>0</v>
      </c>
      <c r="AN78" s="55">
        <v>21</v>
      </c>
      <c r="AO78" s="55">
        <f>H78*0</f>
        <v>0</v>
      </c>
      <c r="AP78" s="55">
        <f>H78*(1-0)</f>
        <v>0</v>
      </c>
      <c r="AQ78" s="54" t="s">
        <v>152</v>
      </c>
      <c r="AV78" s="55">
        <f t="shared" si="72"/>
        <v>0</v>
      </c>
      <c r="AW78" s="55">
        <f t="shared" si="73"/>
        <v>0</v>
      </c>
      <c r="AX78" s="55">
        <f t="shared" si="74"/>
        <v>0</v>
      </c>
      <c r="AY78" s="54" t="s">
        <v>329</v>
      </c>
      <c r="AZ78" s="54" t="s">
        <v>289</v>
      </c>
      <c r="BA78" s="75" t="s">
        <v>160</v>
      </c>
      <c r="BC78" s="55">
        <f t="shared" si="75"/>
        <v>0</v>
      </c>
      <c r="BD78" s="55">
        <f t="shared" si="76"/>
        <v>0</v>
      </c>
      <c r="BE78" s="55">
        <v>0</v>
      </c>
      <c r="BF78" s="55">
        <f t="shared" si="77"/>
        <v>0</v>
      </c>
      <c r="BH78" s="55">
        <f t="shared" si="78"/>
        <v>0</v>
      </c>
      <c r="BI78" s="55">
        <f t="shared" si="79"/>
        <v>0</v>
      </c>
      <c r="BJ78" s="55">
        <f t="shared" si="80"/>
        <v>0</v>
      </c>
      <c r="BK78" s="54" t="s">
        <v>161</v>
      </c>
      <c r="BL78" s="55">
        <v>96</v>
      </c>
      <c r="BW78" s="55">
        <f t="shared" si="81"/>
        <v>21</v>
      </c>
      <c r="BX78" s="16" t="s">
        <v>356</v>
      </c>
    </row>
    <row r="79" spans="1:76" ht="15" customHeight="1" x14ac:dyDescent="0.3">
      <c r="A79" s="94" t="s">
        <v>357</v>
      </c>
      <c r="B79" s="94" t="s">
        <v>103</v>
      </c>
      <c r="C79" s="94" t="s">
        <v>358</v>
      </c>
      <c r="D79" s="199" t="s">
        <v>359</v>
      </c>
      <c r="E79" s="199"/>
      <c r="F79" s="94" t="s">
        <v>176</v>
      </c>
      <c r="G79" s="96">
        <f>'Stavební rozpočet'!G79</f>
        <v>33.6</v>
      </c>
      <c r="H79" s="97">
        <f>'Stavební rozpočet'!H79</f>
        <v>0</v>
      </c>
      <c r="I79" s="98">
        <v>21</v>
      </c>
      <c r="J79" s="97">
        <f t="shared" si="56"/>
        <v>0</v>
      </c>
      <c r="K79" s="97">
        <f t="shared" si="57"/>
        <v>0</v>
      </c>
      <c r="L79" s="97">
        <f t="shared" si="58"/>
        <v>0</v>
      </c>
      <c r="M79" s="97">
        <f t="shared" si="59"/>
        <v>0</v>
      </c>
      <c r="N79" s="97">
        <f>'Stavební rozpočet'!N79</f>
        <v>1.1129999999999999E-2</v>
      </c>
      <c r="O79" s="97">
        <f t="shared" si="60"/>
        <v>0.37396799999999997</v>
      </c>
      <c r="P79" s="99" t="s">
        <v>156</v>
      </c>
      <c r="Z79" s="55">
        <f t="shared" si="61"/>
        <v>0</v>
      </c>
      <c r="AB79" s="55">
        <f t="shared" si="62"/>
        <v>0</v>
      </c>
      <c r="AC79" s="55">
        <f t="shared" si="63"/>
        <v>0</v>
      </c>
      <c r="AD79" s="55">
        <f t="shared" si="64"/>
        <v>0</v>
      </c>
      <c r="AE79" s="55">
        <f t="shared" si="65"/>
        <v>0</v>
      </c>
      <c r="AF79" s="55">
        <f t="shared" si="66"/>
        <v>0</v>
      </c>
      <c r="AG79" s="55">
        <f t="shared" si="67"/>
        <v>0</v>
      </c>
      <c r="AH79" s="55">
        <f t="shared" si="68"/>
        <v>0</v>
      </c>
      <c r="AI79" s="75" t="s">
        <v>103</v>
      </c>
      <c r="AJ79" s="55">
        <f t="shared" si="69"/>
        <v>0</v>
      </c>
      <c r="AK79" s="55">
        <f t="shared" si="70"/>
        <v>0</v>
      </c>
      <c r="AL79" s="55">
        <f t="shared" si="71"/>
        <v>0</v>
      </c>
      <c r="AN79" s="55">
        <v>21</v>
      </c>
      <c r="AO79" s="55">
        <f>H79*0</f>
        <v>0</v>
      </c>
      <c r="AP79" s="55">
        <f>H79*(1-0)</f>
        <v>0</v>
      </c>
      <c r="AQ79" s="54" t="s">
        <v>152</v>
      </c>
      <c r="AV79" s="55">
        <f t="shared" si="72"/>
        <v>0</v>
      </c>
      <c r="AW79" s="55">
        <f t="shared" si="73"/>
        <v>0</v>
      </c>
      <c r="AX79" s="55">
        <f t="shared" si="74"/>
        <v>0</v>
      </c>
      <c r="AY79" s="54" t="s">
        <v>329</v>
      </c>
      <c r="AZ79" s="54" t="s">
        <v>289</v>
      </c>
      <c r="BA79" s="75" t="s">
        <v>160</v>
      </c>
      <c r="BC79" s="55">
        <f t="shared" si="75"/>
        <v>0</v>
      </c>
      <c r="BD79" s="55">
        <f t="shared" si="76"/>
        <v>0</v>
      </c>
      <c r="BE79" s="55">
        <v>0</v>
      </c>
      <c r="BF79" s="55">
        <f t="shared" si="77"/>
        <v>0.37396799999999997</v>
      </c>
      <c r="BH79" s="55">
        <f t="shared" si="78"/>
        <v>0</v>
      </c>
      <c r="BI79" s="55">
        <f t="shared" si="79"/>
        <v>0</v>
      </c>
      <c r="BJ79" s="55">
        <f t="shared" si="80"/>
        <v>0</v>
      </c>
      <c r="BK79" s="54" t="s">
        <v>161</v>
      </c>
      <c r="BL79" s="55">
        <v>96</v>
      </c>
      <c r="BW79" s="55">
        <f t="shared" si="81"/>
        <v>21</v>
      </c>
      <c r="BX79" s="16" t="s">
        <v>359</v>
      </c>
    </row>
    <row r="80" spans="1:76" ht="15" customHeight="1" x14ac:dyDescent="0.3">
      <c r="A80" s="94" t="s">
        <v>360</v>
      </c>
      <c r="B80" s="94" t="s">
        <v>103</v>
      </c>
      <c r="C80" s="94" t="s">
        <v>361</v>
      </c>
      <c r="D80" s="199" t="s">
        <v>362</v>
      </c>
      <c r="E80" s="199"/>
      <c r="F80" s="94" t="s">
        <v>155</v>
      </c>
      <c r="G80" s="96">
        <f>'Stavební rozpočet'!G80</f>
        <v>15.984</v>
      </c>
      <c r="H80" s="97">
        <f>'Stavební rozpočet'!H80</f>
        <v>0</v>
      </c>
      <c r="I80" s="98">
        <v>21</v>
      </c>
      <c r="J80" s="97">
        <f t="shared" si="56"/>
        <v>0</v>
      </c>
      <c r="K80" s="97">
        <f t="shared" si="57"/>
        <v>0</v>
      </c>
      <c r="L80" s="97">
        <f t="shared" si="58"/>
        <v>0</v>
      </c>
      <c r="M80" s="97">
        <f t="shared" si="59"/>
        <v>0</v>
      </c>
      <c r="N80" s="97">
        <f>'Stavební rozpočet'!N80</f>
        <v>0.15467</v>
      </c>
      <c r="O80" s="97">
        <f t="shared" si="60"/>
        <v>2.4722452800000001</v>
      </c>
      <c r="P80" s="99" t="s">
        <v>156</v>
      </c>
      <c r="Z80" s="55">
        <f t="shared" si="61"/>
        <v>0</v>
      </c>
      <c r="AB80" s="55">
        <f t="shared" si="62"/>
        <v>0</v>
      </c>
      <c r="AC80" s="55">
        <f t="shared" si="63"/>
        <v>0</v>
      </c>
      <c r="AD80" s="55">
        <f t="shared" si="64"/>
        <v>0</v>
      </c>
      <c r="AE80" s="55">
        <f t="shared" si="65"/>
        <v>0</v>
      </c>
      <c r="AF80" s="55">
        <f t="shared" si="66"/>
        <v>0</v>
      </c>
      <c r="AG80" s="55">
        <f t="shared" si="67"/>
        <v>0</v>
      </c>
      <c r="AH80" s="55">
        <f t="shared" si="68"/>
        <v>0</v>
      </c>
      <c r="AI80" s="75" t="s">
        <v>103</v>
      </c>
      <c r="AJ80" s="55">
        <f t="shared" si="69"/>
        <v>0</v>
      </c>
      <c r="AK80" s="55">
        <f t="shared" si="70"/>
        <v>0</v>
      </c>
      <c r="AL80" s="55">
        <f t="shared" si="71"/>
        <v>0</v>
      </c>
      <c r="AN80" s="55">
        <v>21</v>
      </c>
      <c r="AO80" s="55">
        <f>H80*0.121067178</f>
        <v>0</v>
      </c>
      <c r="AP80" s="55">
        <f>H80*(1-0.121067178)</f>
        <v>0</v>
      </c>
      <c r="AQ80" s="54" t="s">
        <v>152</v>
      </c>
      <c r="AV80" s="55">
        <f t="shared" si="72"/>
        <v>0</v>
      </c>
      <c r="AW80" s="55">
        <f t="shared" si="73"/>
        <v>0</v>
      </c>
      <c r="AX80" s="55">
        <f t="shared" si="74"/>
        <v>0</v>
      </c>
      <c r="AY80" s="54" t="s">
        <v>329</v>
      </c>
      <c r="AZ80" s="54" t="s">
        <v>289</v>
      </c>
      <c r="BA80" s="75" t="s">
        <v>160</v>
      </c>
      <c r="BC80" s="55">
        <f t="shared" si="75"/>
        <v>0</v>
      </c>
      <c r="BD80" s="55">
        <f t="shared" si="76"/>
        <v>0</v>
      </c>
      <c r="BE80" s="55">
        <v>0</v>
      </c>
      <c r="BF80" s="55">
        <f t="shared" si="77"/>
        <v>2.4722452800000001</v>
      </c>
      <c r="BH80" s="55">
        <f t="shared" si="78"/>
        <v>0</v>
      </c>
      <c r="BI80" s="55">
        <f t="shared" si="79"/>
        <v>0</v>
      </c>
      <c r="BJ80" s="55">
        <f t="shared" si="80"/>
        <v>0</v>
      </c>
      <c r="BK80" s="54" t="s">
        <v>161</v>
      </c>
      <c r="BL80" s="55">
        <v>96</v>
      </c>
      <c r="BW80" s="55">
        <f t="shared" si="81"/>
        <v>21</v>
      </c>
      <c r="BX80" s="16" t="s">
        <v>362</v>
      </c>
    </row>
    <row r="81" spans="1:76" ht="15" customHeight="1" x14ac:dyDescent="0.3">
      <c r="A81" s="94" t="s">
        <v>363</v>
      </c>
      <c r="B81" s="94" t="s">
        <v>103</v>
      </c>
      <c r="C81" s="94" t="s">
        <v>364</v>
      </c>
      <c r="D81" s="199" t="s">
        <v>365</v>
      </c>
      <c r="E81" s="199"/>
      <c r="F81" s="94" t="s">
        <v>366</v>
      </c>
      <c r="G81" s="96">
        <f>'Stavební rozpočet'!G81</f>
        <v>5.94</v>
      </c>
      <c r="H81" s="97">
        <f>'Stavební rozpočet'!H81</f>
        <v>0</v>
      </c>
      <c r="I81" s="98">
        <v>21</v>
      </c>
      <c r="J81" s="97">
        <f t="shared" si="56"/>
        <v>0</v>
      </c>
      <c r="K81" s="97">
        <f t="shared" si="57"/>
        <v>0</v>
      </c>
      <c r="L81" s="97">
        <f t="shared" si="58"/>
        <v>0</v>
      </c>
      <c r="M81" s="97">
        <f t="shared" si="59"/>
        <v>0</v>
      </c>
      <c r="N81" s="97">
        <f>'Stavební rozpočet'!N81</f>
        <v>1.1760999999999999</v>
      </c>
      <c r="O81" s="97">
        <f t="shared" si="60"/>
        <v>6.9860340000000001</v>
      </c>
      <c r="P81" s="99" t="s">
        <v>156</v>
      </c>
      <c r="Z81" s="55">
        <f t="shared" si="61"/>
        <v>0</v>
      </c>
      <c r="AB81" s="55">
        <f t="shared" si="62"/>
        <v>0</v>
      </c>
      <c r="AC81" s="55">
        <f t="shared" si="63"/>
        <v>0</v>
      </c>
      <c r="AD81" s="55">
        <f t="shared" si="64"/>
        <v>0</v>
      </c>
      <c r="AE81" s="55">
        <f t="shared" si="65"/>
        <v>0</v>
      </c>
      <c r="AF81" s="55">
        <f t="shared" si="66"/>
        <v>0</v>
      </c>
      <c r="AG81" s="55">
        <f t="shared" si="67"/>
        <v>0</v>
      </c>
      <c r="AH81" s="55">
        <f t="shared" si="68"/>
        <v>0</v>
      </c>
      <c r="AI81" s="75" t="s">
        <v>103</v>
      </c>
      <c r="AJ81" s="55">
        <f t="shared" si="69"/>
        <v>0</v>
      </c>
      <c r="AK81" s="55">
        <f t="shared" si="70"/>
        <v>0</v>
      </c>
      <c r="AL81" s="55">
        <f t="shared" si="71"/>
        <v>0</v>
      </c>
      <c r="AN81" s="55">
        <v>21</v>
      </c>
      <c r="AO81" s="55">
        <f>H81*0.032935008</f>
        <v>0</v>
      </c>
      <c r="AP81" s="55">
        <f>H81*(1-0.032935008)</f>
        <v>0</v>
      </c>
      <c r="AQ81" s="54" t="s">
        <v>152</v>
      </c>
      <c r="AV81" s="55">
        <f t="shared" si="72"/>
        <v>0</v>
      </c>
      <c r="AW81" s="55">
        <f t="shared" si="73"/>
        <v>0</v>
      </c>
      <c r="AX81" s="55">
        <f t="shared" si="74"/>
        <v>0</v>
      </c>
      <c r="AY81" s="54" t="s">
        <v>329</v>
      </c>
      <c r="AZ81" s="54" t="s">
        <v>289</v>
      </c>
      <c r="BA81" s="75" t="s">
        <v>160</v>
      </c>
      <c r="BC81" s="55">
        <f t="shared" si="75"/>
        <v>0</v>
      </c>
      <c r="BD81" s="55">
        <f t="shared" si="76"/>
        <v>0</v>
      </c>
      <c r="BE81" s="55">
        <v>0</v>
      </c>
      <c r="BF81" s="55">
        <f t="shared" si="77"/>
        <v>6.9860340000000001</v>
      </c>
      <c r="BH81" s="55">
        <f t="shared" si="78"/>
        <v>0</v>
      </c>
      <c r="BI81" s="55">
        <f t="shared" si="79"/>
        <v>0</v>
      </c>
      <c r="BJ81" s="55">
        <f t="shared" si="80"/>
        <v>0</v>
      </c>
      <c r="BK81" s="54" t="s">
        <v>161</v>
      </c>
      <c r="BL81" s="55">
        <v>96</v>
      </c>
      <c r="BW81" s="55">
        <f t="shared" si="81"/>
        <v>21</v>
      </c>
      <c r="BX81" s="16" t="s">
        <v>365</v>
      </c>
    </row>
    <row r="82" spans="1:76" ht="15" customHeight="1" x14ac:dyDescent="0.3">
      <c r="A82" s="94" t="s">
        <v>367</v>
      </c>
      <c r="B82" s="94" t="s">
        <v>103</v>
      </c>
      <c r="C82" s="94" t="s">
        <v>368</v>
      </c>
      <c r="D82" s="199" t="s">
        <v>369</v>
      </c>
      <c r="E82" s="199"/>
      <c r="F82" s="94" t="s">
        <v>366</v>
      </c>
      <c r="G82" s="96">
        <f>'Stavební rozpočet'!G82</f>
        <v>16.605</v>
      </c>
      <c r="H82" s="97">
        <f>'Stavební rozpočet'!H82</f>
        <v>0</v>
      </c>
      <c r="I82" s="98">
        <v>21</v>
      </c>
      <c r="J82" s="97">
        <f t="shared" si="56"/>
        <v>0</v>
      </c>
      <c r="K82" s="97">
        <f t="shared" si="57"/>
        <v>0</v>
      </c>
      <c r="L82" s="97">
        <f t="shared" si="58"/>
        <v>0</v>
      </c>
      <c r="M82" s="97">
        <f t="shared" si="59"/>
        <v>0</v>
      </c>
      <c r="N82" s="97">
        <f>'Stavební rozpočet'!N82</f>
        <v>1.4</v>
      </c>
      <c r="O82" s="97">
        <f t="shared" si="60"/>
        <v>23.247</v>
      </c>
      <c r="P82" s="99" t="s">
        <v>156</v>
      </c>
      <c r="Z82" s="55">
        <f t="shared" si="61"/>
        <v>0</v>
      </c>
      <c r="AB82" s="55">
        <f t="shared" si="62"/>
        <v>0</v>
      </c>
      <c r="AC82" s="55">
        <f t="shared" si="63"/>
        <v>0</v>
      </c>
      <c r="AD82" s="55">
        <f t="shared" si="64"/>
        <v>0</v>
      </c>
      <c r="AE82" s="55">
        <f t="shared" si="65"/>
        <v>0</v>
      </c>
      <c r="AF82" s="55">
        <f t="shared" si="66"/>
        <v>0</v>
      </c>
      <c r="AG82" s="55">
        <f t="shared" si="67"/>
        <v>0</v>
      </c>
      <c r="AH82" s="55">
        <f t="shared" si="68"/>
        <v>0</v>
      </c>
      <c r="AI82" s="75" t="s">
        <v>103</v>
      </c>
      <c r="AJ82" s="55">
        <f t="shared" si="69"/>
        <v>0</v>
      </c>
      <c r="AK82" s="55">
        <f t="shared" si="70"/>
        <v>0</v>
      </c>
      <c r="AL82" s="55">
        <f t="shared" si="71"/>
        <v>0</v>
      </c>
      <c r="AN82" s="55">
        <v>21</v>
      </c>
      <c r="AO82" s="55">
        <f>H82*0</f>
        <v>0</v>
      </c>
      <c r="AP82" s="55">
        <f>H82*(1-0)</f>
        <v>0</v>
      </c>
      <c r="AQ82" s="54" t="s">
        <v>152</v>
      </c>
      <c r="AV82" s="55">
        <f t="shared" si="72"/>
        <v>0</v>
      </c>
      <c r="AW82" s="55">
        <f t="shared" si="73"/>
        <v>0</v>
      </c>
      <c r="AX82" s="55">
        <f t="shared" si="74"/>
        <v>0</v>
      </c>
      <c r="AY82" s="54" t="s">
        <v>329</v>
      </c>
      <c r="AZ82" s="54" t="s">
        <v>289</v>
      </c>
      <c r="BA82" s="75" t="s">
        <v>160</v>
      </c>
      <c r="BC82" s="55">
        <f t="shared" si="75"/>
        <v>0</v>
      </c>
      <c r="BD82" s="55">
        <f t="shared" si="76"/>
        <v>0</v>
      </c>
      <c r="BE82" s="55">
        <v>0</v>
      </c>
      <c r="BF82" s="55">
        <f t="shared" si="77"/>
        <v>23.247</v>
      </c>
      <c r="BH82" s="55">
        <f t="shared" si="78"/>
        <v>0</v>
      </c>
      <c r="BI82" s="55">
        <f t="shared" si="79"/>
        <v>0</v>
      </c>
      <c r="BJ82" s="55">
        <f t="shared" si="80"/>
        <v>0</v>
      </c>
      <c r="BK82" s="54" t="s">
        <v>161</v>
      </c>
      <c r="BL82" s="55">
        <v>96</v>
      </c>
      <c r="BW82" s="55">
        <f t="shared" si="81"/>
        <v>21</v>
      </c>
      <c r="BX82" s="16" t="s">
        <v>369</v>
      </c>
    </row>
    <row r="83" spans="1:76" ht="15" customHeight="1" x14ac:dyDescent="0.3">
      <c r="A83" s="94" t="s">
        <v>370</v>
      </c>
      <c r="B83" s="94" t="s">
        <v>103</v>
      </c>
      <c r="C83" s="94" t="s">
        <v>371</v>
      </c>
      <c r="D83" s="199" t="s">
        <v>372</v>
      </c>
      <c r="E83" s="199"/>
      <c r="F83" s="94" t="s">
        <v>366</v>
      </c>
      <c r="G83" s="96">
        <f>'Stavební rozpočet'!G83</f>
        <v>71.153999999999996</v>
      </c>
      <c r="H83" s="97">
        <f>'Stavební rozpočet'!H83</f>
        <v>0</v>
      </c>
      <c r="I83" s="98">
        <v>21</v>
      </c>
      <c r="J83" s="97">
        <f t="shared" si="56"/>
        <v>0</v>
      </c>
      <c r="K83" s="97">
        <f t="shared" si="57"/>
        <v>0</v>
      </c>
      <c r="L83" s="97">
        <f t="shared" si="58"/>
        <v>0</v>
      </c>
      <c r="M83" s="97">
        <f t="shared" si="59"/>
        <v>0</v>
      </c>
      <c r="N83" s="97">
        <f>'Stavební rozpočet'!N83</f>
        <v>2</v>
      </c>
      <c r="O83" s="97">
        <f t="shared" si="60"/>
        <v>142.30799999999999</v>
      </c>
      <c r="P83" s="99" t="s">
        <v>156</v>
      </c>
      <c r="Z83" s="55">
        <f t="shared" si="61"/>
        <v>0</v>
      </c>
      <c r="AB83" s="55">
        <f t="shared" si="62"/>
        <v>0</v>
      </c>
      <c r="AC83" s="55">
        <f t="shared" si="63"/>
        <v>0</v>
      </c>
      <c r="AD83" s="55">
        <f t="shared" si="64"/>
        <v>0</v>
      </c>
      <c r="AE83" s="55">
        <f t="shared" si="65"/>
        <v>0</v>
      </c>
      <c r="AF83" s="55">
        <f t="shared" si="66"/>
        <v>0</v>
      </c>
      <c r="AG83" s="55">
        <f t="shared" si="67"/>
        <v>0</v>
      </c>
      <c r="AH83" s="55">
        <f t="shared" si="68"/>
        <v>0</v>
      </c>
      <c r="AI83" s="75" t="s">
        <v>103</v>
      </c>
      <c r="AJ83" s="55">
        <f t="shared" si="69"/>
        <v>0</v>
      </c>
      <c r="AK83" s="55">
        <f t="shared" si="70"/>
        <v>0</v>
      </c>
      <c r="AL83" s="55">
        <f t="shared" si="71"/>
        <v>0</v>
      </c>
      <c r="AN83" s="55">
        <v>21</v>
      </c>
      <c r="AO83" s="55">
        <f>H83*0</f>
        <v>0</v>
      </c>
      <c r="AP83" s="55">
        <f>H83*(1-0)</f>
        <v>0</v>
      </c>
      <c r="AQ83" s="54" t="s">
        <v>152</v>
      </c>
      <c r="AV83" s="55">
        <f t="shared" si="72"/>
        <v>0</v>
      </c>
      <c r="AW83" s="55">
        <f t="shared" si="73"/>
        <v>0</v>
      </c>
      <c r="AX83" s="55">
        <f t="shared" si="74"/>
        <v>0</v>
      </c>
      <c r="AY83" s="54" t="s">
        <v>329</v>
      </c>
      <c r="AZ83" s="54" t="s">
        <v>289</v>
      </c>
      <c r="BA83" s="75" t="s">
        <v>160</v>
      </c>
      <c r="BC83" s="55">
        <f t="shared" si="75"/>
        <v>0</v>
      </c>
      <c r="BD83" s="55">
        <f t="shared" si="76"/>
        <v>0</v>
      </c>
      <c r="BE83" s="55">
        <v>0</v>
      </c>
      <c r="BF83" s="55">
        <f t="shared" si="77"/>
        <v>142.30799999999999</v>
      </c>
      <c r="BH83" s="55">
        <f t="shared" si="78"/>
        <v>0</v>
      </c>
      <c r="BI83" s="55">
        <f t="shared" si="79"/>
        <v>0</v>
      </c>
      <c r="BJ83" s="55">
        <f t="shared" si="80"/>
        <v>0</v>
      </c>
      <c r="BK83" s="54" t="s">
        <v>161</v>
      </c>
      <c r="BL83" s="55">
        <v>96</v>
      </c>
      <c r="BW83" s="55">
        <f t="shared" si="81"/>
        <v>21</v>
      </c>
      <c r="BX83" s="16" t="s">
        <v>372</v>
      </c>
    </row>
    <row r="84" spans="1:76" ht="15" customHeight="1" x14ac:dyDescent="0.3">
      <c r="A84" s="94" t="s">
        <v>373</v>
      </c>
      <c r="B84" s="94" t="s">
        <v>103</v>
      </c>
      <c r="C84" s="94" t="s">
        <v>374</v>
      </c>
      <c r="D84" s="199" t="s">
        <v>375</v>
      </c>
      <c r="E84" s="199"/>
      <c r="F84" s="94" t="s">
        <v>366</v>
      </c>
      <c r="G84" s="96">
        <f>'Stavební rozpočet'!G84</f>
        <v>26.01</v>
      </c>
      <c r="H84" s="97">
        <f>'Stavební rozpočet'!H84</f>
        <v>0</v>
      </c>
      <c r="I84" s="98">
        <v>21</v>
      </c>
      <c r="J84" s="97">
        <f t="shared" si="56"/>
        <v>0</v>
      </c>
      <c r="K84" s="97">
        <f t="shared" si="57"/>
        <v>0</v>
      </c>
      <c r="L84" s="97">
        <f t="shared" si="58"/>
        <v>0</v>
      </c>
      <c r="M84" s="97">
        <f t="shared" si="59"/>
        <v>0</v>
      </c>
      <c r="N84" s="97">
        <f>'Stavební rozpočet'!N84</f>
        <v>2.2000000000000002</v>
      </c>
      <c r="O84" s="97">
        <f t="shared" si="60"/>
        <v>57.222000000000008</v>
      </c>
      <c r="P84" s="99" t="s">
        <v>156</v>
      </c>
      <c r="Z84" s="55">
        <f t="shared" si="61"/>
        <v>0</v>
      </c>
      <c r="AB84" s="55">
        <f t="shared" si="62"/>
        <v>0</v>
      </c>
      <c r="AC84" s="55">
        <f t="shared" si="63"/>
        <v>0</v>
      </c>
      <c r="AD84" s="55">
        <f t="shared" si="64"/>
        <v>0</v>
      </c>
      <c r="AE84" s="55">
        <f t="shared" si="65"/>
        <v>0</v>
      </c>
      <c r="AF84" s="55">
        <f t="shared" si="66"/>
        <v>0</v>
      </c>
      <c r="AG84" s="55">
        <f t="shared" si="67"/>
        <v>0</v>
      </c>
      <c r="AH84" s="55">
        <f t="shared" si="68"/>
        <v>0</v>
      </c>
      <c r="AI84" s="75" t="s">
        <v>103</v>
      </c>
      <c r="AJ84" s="55">
        <f t="shared" si="69"/>
        <v>0</v>
      </c>
      <c r="AK84" s="55">
        <f t="shared" si="70"/>
        <v>0</v>
      </c>
      <c r="AL84" s="55">
        <f t="shared" si="71"/>
        <v>0</v>
      </c>
      <c r="AN84" s="55">
        <v>21</v>
      </c>
      <c r="AO84" s="55">
        <f>H84*0</f>
        <v>0</v>
      </c>
      <c r="AP84" s="55">
        <f>H84*(1-0)</f>
        <v>0</v>
      </c>
      <c r="AQ84" s="54" t="s">
        <v>152</v>
      </c>
      <c r="AV84" s="55">
        <f t="shared" si="72"/>
        <v>0</v>
      </c>
      <c r="AW84" s="55">
        <f t="shared" si="73"/>
        <v>0</v>
      </c>
      <c r="AX84" s="55">
        <f t="shared" si="74"/>
        <v>0</v>
      </c>
      <c r="AY84" s="54" t="s">
        <v>329</v>
      </c>
      <c r="AZ84" s="54" t="s">
        <v>289</v>
      </c>
      <c r="BA84" s="75" t="s">
        <v>160</v>
      </c>
      <c r="BC84" s="55">
        <f t="shared" si="75"/>
        <v>0</v>
      </c>
      <c r="BD84" s="55">
        <f t="shared" si="76"/>
        <v>0</v>
      </c>
      <c r="BE84" s="55">
        <v>0</v>
      </c>
      <c r="BF84" s="55">
        <f t="shared" si="77"/>
        <v>57.222000000000008</v>
      </c>
      <c r="BH84" s="55">
        <f t="shared" si="78"/>
        <v>0</v>
      </c>
      <c r="BI84" s="55">
        <f t="shared" si="79"/>
        <v>0</v>
      </c>
      <c r="BJ84" s="55">
        <f t="shared" si="80"/>
        <v>0</v>
      </c>
      <c r="BK84" s="54" t="s">
        <v>161</v>
      </c>
      <c r="BL84" s="55">
        <v>96</v>
      </c>
      <c r="BW84" s="55">
        <f t="shared" si="81"/>
        <v>21</v>
      </c>
      <c r="BX84" s="16" t="s">
        <v>375</v>
      </c>
    </row>
    <row r="85" spans="1:76" ht="15" customHeight="1" x14ac:dyDescent="0.3">
      <c r="A85" s="88"/>
      <c r="B85" s="89" t="s">
        <v>103</v>
      </c>
      <c r="C85" s="89" t="s">
        <v>376</v>
      </c>
      <c r="D85" s="198" t="s">
        <v>377</v>
      </c>
      <c r="E85" s="198"/>
      <c r="F85" s="88" t="s">
        <v>96</v>
      </c>
      <c r="G85" s="90" t="s">
        <v>96</v>
      </c>
      <c r="H85" s="88" t="s">
        <v>96</v>
      </c>
      <c r="I85" s="88" t="s">
        <v>96</v>
      </c>
      <c r="J85" s="91">
        <f>SUM(J86:J88)</f>
        <v>0</v>
      </c>
      <c r="K85" s="91">
        <f>SUM(K86:K88)</f>
        <v>0</v>
      </c>
      <c r="L85" s="91">
        <f>SUM(L86:L88)</f>
        <v>0</v>
      </c>
      <c r="M85" s="91">
        <f>SUM(M86:M88)</f>
        <v>0</v>
      </c>
      <c r="N85" s="92"/>
      <c r="O85" s="91">
        <f>SUM(O86:O88)</f>
        <v>1.4974000000000001</v>
      </c>
      <c r="P85" s="92"/>
      <c r="AI85" s="75" t="s">
        <v>103</v>
      </c>
      <c r="AS85" s="68">
        <f>SUM(AJ86:AJ88)</f>
        <v>0</v>
      </c>
      <c r="AT85" s="68">
        <f>SUM(AK86:AK88)</f>
        <v>0</v>
      </c>
      <c r="AU85" s="68">
        <f>SUM(AL86:AL88)</f>
        <v>0</v>
      </c>
    </row>
    <row r="86" spans="1:76" ht="15" customHeight="1" x14ac:dyDescent="0.3">
      <c r="A86" s="94" t="s">
        <v>378</v>
      </c>
      <c r="B86" s="94" t="s">
        <v>103</v>
      </c>
      <c r="C86" s="94" t="s">
        <v>379</v>
      </c>
      <c r="D86" s="199" t="s">
        <v>380</v>
      </c>
      <c r="E86" s="199"/>
      <c r="F86" s="94" t="s">
        <v>176</v>
      </c>
      <c r="G86" s="96">
        <f>'Stavební rozpočet'!G86</f>
        <v>38.200000000000003</v>
      </c>
      <c r="H86" s="97">
        <f>'Stavební rozpočet'!H86</f>
        <v>0</v>
      </c>
      <c r="I86" s="98">
        <v>21</v>
      </c>
      <c r="J86" s="97">
        <f>ROUND(G86*AO86,2)</f>
        <v>0</v>
      </c>
      <c r="K86" s="97">
        <f>ROUND(G86*AP86,2)</f>
        <v>0</v>
      </c>
      <c r="L86" s="97">
        <f>ROUND(G86*H86,2)</f>
        <v>0</v>
      </c>
      <c r="M86" s="97">
        <f>L86*(1+BW86/100)</f>
        <v>0</v>
      </c>
      <c r="N86" s="97">
        <f>'Stavební rozpočet'!N86</f>
        <v>3.6999999999999998E-2</v>
      </c>
      <c r="O86" s="97">
        <f>G86*N86</f>
        <v>1.4134</v>
      </c>
      <c r="P86" s="99" t="s">
        <v>156</v>
      </c>
      <c r="Z86" s="55">
        <f>ROUND(IF(AQ86="5",BJ86,0),2)</f>
        <v>0</v>
      </c>
      <c r="AB86" s="55">
        <f>ROUND(IF(AQ86="1",BH86,0),2)</f>
        <v>0</v>
      </c>
      <c r="AC86" s="55">
        <f>ROUND(IF(AQ86="1",BI86,0),2)</f>
        <v>0</v>
      </c>
      <c r="AD86" s="55">
        <f>ROUND(IF(AQ86="7",BH86,0),2)</f>
        <v>0</v>
      </c>
      <c r="AE86" s="55">
        <f>ROUND(IF(AQ86="7",BI86,0),2)</f>
        <v>0</v>
      </c>
      <c r="AF86" s="55">
        <f>ROUND(IF(AQ86="2",BH86,0),2)</f>
        <v>0</v>
      </c>
      <c r="AG86" s="55">
        <f>ROUND(IF(AQ86="2",BI86,0),2)</f>
        <v>0</v>
      </c>
      <c r="AH86" s="55">
        <f>ROUND(IF(AQ86="0",BJ86,0),2)</f>
        <v>0</v>
      </c>
      <c r="AI86" s="75" t="s">
        <v>103</v>
      </c>
      <c r="AJ86" s="55">
        <f>IF(AN86=0,L86,0)</f>
        <v>0</v>
      </c>
      <c r="AK86" s="55">
        <f>IF(AN86=12,L86,0)</f>
        <v>0</v>
      </c>
      <c r="AL86" s="55">
        <f>IF(AN86=21,L86,0)</f>
        <v>0</v>
      </c>
      <c r="AN86" s="55">
        <v>21</v>
      </c>
      <c r="AO86" s="55">
        <f>H86*0</f>
        <v>0</v>
      </c>
      <c r="AP86" s="55">
        <f>H86*(1-0)</f>
        <v>0</v>
      </c>
      <c r="AQ86" s="54" t="s">
        <v>152</v>
      </c>
      <c r="AV86" s="55">
        <f>ROUND(AW86+AX86,2)</f>
        <v>0</v>
      </c>
      <c r="AW86" s="55">
        <f>ROUND(G86*AO86,2)</f>
        <v>0</v>
      </c>
      <c r="AX86" s="55">
        <f>ROUND(G86*AP86,2)</f>
        <v>0</v>
      </c>
      <c r="AY86" s="54" t="s">
        <v>381</v>
      </c>
      <c r="AZ86" s="54" t="s">
        <v>289</v>
      </c>
      <c r="BA86" s="75" t="s">
        <v>160</v>
      </c>
      <c r="BC86" s="55">
        <f>AW86+AX86</f>
        <v>0</v>
      </c>
      <c r="BD86" s="55">
        <f>H86/(100-BE86)*100</f>
        <v>0</v>
      </c>
      <c r="BE86" s="55">
        <v>0</v>
      </c>
      <c r="BF86" s="55">
        <f>O86</f>
        <v>1.4134</v>
      </c>
      <c r="BH86" s="55">
        <f>G86*AO86</f>
        <v>0</v>
      </c>
      <c r="BI86" s="55">
        <f>G86*AP86</f>
        <v>0</v>
      </c>
      <c r="BJ86" s="55">
        <f>G86*H86</f>
        <v>0</v>
      </c>
      <c r="BK86" s="54" t="s">
        <v>161</v>
      </c>
      <c r="BL86" s="55">
        <v>97</v>
      </c>
      <c r="BW86" s="55">
        <f>I86</f>
        <v>21</v>
      </c>
      <c r="BX86" s="16" t="s">
        <v>380</v>
      </c>
    </row>
    <row r="87" spans="1:76" ht="15" customHeight="1" x14ac:dyDescent="0.3">
      <c r="A87" s="94" t="s">
        <v>382</v>
      </c>
      <c r="B87" s="94" t="s">
        <v>103</v>
      </c>
      <c r="C87" s="94" t="s">
        <v>383</v>
      </c>
      <c r="D87" s="199" t="s">
        <v>384</v>
      </c>
      <c r="E87" s="199"/>
      <c r="F87" s="94" t="s">
        <v>176</v>
      </c>
      <c r="G87" s="96">
        <f>'Stavební rozpočet'!G87</f>
        <v>2</v>
      </c>
      <c r="H87" s="97">
        <f>'Stavební rozpočet'!H87</f>
        <v>0</v>
      </c>
      <c r="I87" s="98">
        <v>21</v>
      </c>
      <c r="J87" s="97">
        <f>ROUND(G87*AO87,2)</f>
        <v>0</v>
      </c>
      <c r="K87" s="97">
        <f>ROUND(G87*AP87,2)</f>
        <v>0</v>
      </c>
      <c r="L87" s="97">
        <f>ROUND(G87*H87,2)</f>
        <v>0</v>
      </c>
      <c r="M87" s="97">
        <f>L87*(1+BW87/100)</f>
        <v>0</v>
      </c>
      <c r="N87" s="97">
        <f>'Stavební rozpočet'!N87</f>
        <v>1.7000000000000001E-2</v>
      </c>
      <c r="O87" s="97">
        <f>G87*N87</f>
        <v>3.4000000000000002E-2</v>
      </c>
      <c r="P87" s="99" t="s">
        <v>156</v>
      </c>
      <c r="Z87" s="55">
        <f>ROUND(IF(AQ87="5",BJ87,0),2)</f>
        <v>0</v>
      </c>
      <c r="AB87" s="55">
        <f>ROUND(IF(AQ87="1",BH87,0),2)</f>
        <v>0</v>
      </c>
      <c r="AC87" s="55">
        <f>ROUND(IF(AQ87="1",BI87,0),2)</f>
        <v>0</v>
      </c>
      <c r="AD87" s="55">
        <f>ROUND(IF(AQ87="7",BH87,0),2)</f>
        <v>0</v>
      </c>
      <c r="AE87" s="55">
        <f>ROUND(IF(AQ87="7",BI87,0),2)</f>
        <v>0</v>
      </c>
      <c r="AF87" s="55">
        <f>ROUND(IF(AQ87="2",BH87,0),2)</f>
        <v>0</v>
      </c>
      <c r="AG87" s="55">
        <f>ROUND(IF(AQ87="2",BI87,0),2)</f>
        <v>0</v>
      </c>
      <c r="AH87" s="55">
        <f>ROUND(IF(AQ87="0",BJ87,0),2)</f>
        <v>0</v>
      </c>
      <c r="AI87" s="75" t="s">
        <v>103</v>
      </c>
      <c r="AJ87" s="55">
        <f>IF(AN87=0,L87,0)</f>
        <v>0</v>
      </c>
      <c r="AK87" s="55">
        <f>IF(AN87=12,L87,0)</f>
        <v>0</v>
      </c>
      <c r="AL87" s="55">
        <f>IF(AN87=21,L87,0)</f>
        <v>0</v>
      </c>
      <c r="AN87" s="55">
        <v>21</v>
      </c>
      <c r="AO87" s="55">
        <f>H87*0</f>
        <v>0</v>
      </c>
      <c r="AP87" s="55">
        <f>H87*(1-0)</f>
        <v>0</v>
      </c>
      <c r="AQ87" s="54" t="s">
        <v>152</v>
      </c>
      <c r="AV87" s="55">
        <f>ROUND(AW87+AX87,2)</f>
        <v>0</v>
      </c>
      <c r="AW87" s="55">
        <f>ROUND(G87*AO87,2)</f>
        <v>0</v>
      </c>
      <c r="AX87" s="55">
        <f>ROUND(G87*AP87,2)</f>
        <v>0</v>
      </c>
      <c r="AY87" s="54" t="s">
        <v>381</v>
      </c>
      <c r="AZ87" s="54" t="s">
        <v>289</v>
      </c>
      <c r="BA87" s="75" t="s">
        <v>160</v>
      </c>
      <c r="BC87" s="55">
        <f>AW87+AX87</f>
        <v>0</v>
      </c>
      <c r="BD87" s="55">
        <f>H87/(100-BE87)*100</f>
        <v>0</v>
      </c>
      <c r="BE87" s="55">
        <v>0</v>
      </c>
      <c r="BF87" s="55">
        <f>O87</f>
        <v>3.4000000000000002E-2</v>
      </c>
      <c r="BH87" s="55">
        <f>G87*AO87</f>
        <v>0</v>
      </c>
      <c r="BI87" s="55">
        <f>G87*AP87</f>
        <v>0</v>
      </c>
      <c r="BJ87" s="55">
        <f>G87*H87</f>
        <v>0</v>
      </c>
      <c r="BK87" s="54" t="s">
        <v>161</v>
      </c>
      <c r="BL87" s="55">
        <v>97</v>
      </c>
      <c r="BW87" s="55">
        <f>I87</f>
        <v>21</v>
      </c>
      <c r="BX87" s="16" t="s">
        <v>384</v>
      </c>
    </row>
    <row r="88" spans="1:76" ht="15" customHeight="1" x14ac:dyDescent="0.3">
      <c r="A88" s="94" t="s">
        <v>385</v>
      </c>
      <c r="B88" s="94" t="s">
        <v>103</v>
      </c>
      <c r="C88" s="94" t="s">
        <v>386</v>
      </c>
      <c r="D88" s="199" t="s">
        <v>387</v>
      </c>
      <c r="E88" s="199"/>
      <c r="F88" s="94" t="s">
        <v>212</v>
      </c>
      <c r="G88" s="96">
        <f>'Stavební rozpočet'!G88</f>
        <v>5</v>
      </c>
      <c r="H88" s="97">
        <f>'Stavební rozpočet'!H88</f>
        <v>0</v>
      </c>
      <c r="I88" s="98">
        <v>21</v>
      </c>
      <c r="J88" s="97">
        <f>ROUND(G88*AO88,2)</f>
        <v>0</v>
      </c>
      <c r="K88" s="97">
        <f>ROUND(G88*AP88,2)</f>
        <v>0</v>
      </c>
      <c r="L88" s="97">
        <f>ROUND(G88*H88,2)</f>
        <v>0</v>
      </c>
      <c r="M88" s="97">
        <f>L88*(1+BW88/100)</f>
        <v>0</v>
      </c>
      <c r="N88" s="97">
        <f>'Stavební rozpočet'!N88</f>
        <v>0.01</v>
      </c>
      <c r="O88" s="97">
        <f>G88*N88</f>
        <v>0.05</v>
      </c>
      <c r="P88" s="99" t="s">
        <v>156</v>
      </c>
      <c r="Z88" s="55">
        <f>ROUND(IF(AQ88="5",BJ88,0),2)</f>
        <v>0</v>
      </c>
      <c r="AB88" s="55">
        <f>ROUND(IF(AQ88="1",BH88,0),2)</f>
        <v>0</v>
      </c>
      <c r="AC88" s="55">
        <f>ROUND(IF(AQ88="1",BI88,0),2)</f>
        <v>0</v>
      </c>
      <c r="AD88" s="55">
        <f>ROUND(IF(AQ88="7",BH88,0),2)</f>
        <v>0</v>
      </c>
      <c r="AE88" s="55">
        <f>ROUND(IF(AQ88="7",BI88,0),2)</f>
        <v>0</v>
      </c>
      <c r="AF88" s="55">
        <f>ROUND(IF(AQ88="2",BH88,0),2)</f>
        <v>0</v>
      </c>
      <c r="AG88" s="55">
        <f>ROUND(IF(AQ88="2",BI88,0),2)</f>
        <v>0</v>
      </c>
      <c r="AH88" s="55">
        <f>ROUND(IF(AQ88="0",BJ88,0),2)</f>
        <v>0</v>
      </c>
      <c r="AI88" s="75" t="s">
        <v>103</v>
      </c>
      <c r="AJ88" s="55">
        <f>IF(AN88=0,L88,0)</f>
        <v>0</v>
      </c>
      <c r="AK88" s="55">
        <f>IF(AN88=12,L88,0)</f>
        <v>0</v>
      </c>
      <c r="AL88" s="55">
        <f>IF(AN88=21,L88,0)</f>
        <v>0</v>
      </c>
      <c r="AN88" s="55">
        <v>21</v>
      </c>
      <c r="AO88" s="55">
        <f>H88*0</f>
        <v>0</v>
      </c>
      <c r="AP88" s="55">
        <f>H88*(1-0)</f>
        <v>0</v>
      </c>
      <c r="AQ88" s="54" t="s">
        <v>152</v>
      </c>
      <c r="AV88" s="55">
        <f>ROUND(AW88+AX88,2)</f>
        <v>0</v>
      </c>
      <c r="AW88" s="55">
        <f>ROUND(G88*AO88,2)</f>
        <v>0</v>
      </c>
      <c r="AX88" s="55">
        <f>ROUND(G88*AP88,2)</f>
        <v>0</v>
      </c>
      <c r="AY88" s="54" t="s">
        <v>381</v>
      </c>
      <c r="AZ88" s="54" t="s">
        <v>289</v>
      </c>
      <c r="BA88" s="75" t="s">
        <v>160</v>
      </c>
      <c r="BC88" s="55">
        <f>AW88+AX88</f>
        <v>0</v>
      </c>
      <c r="BD88" s="55">
        <f>H88/(100-BE88)*100</f>
        <v>0</v>
      </c>
      <c r="BE88" s="55">
        <v>0</v>
      </c>
      <c r="BF88" s="55">
        <f>O88</f>
        <v>0.05</v>
      </c>
      <c r="BH88" s="55">
        <f>G88*AO88</f>
        <v>0</v>
      </c>
      <c r="BI88" s="55">
        <f>G88*AP88</f>
        <v>0</v>
      </c>
      <c r="BJ88" s="55">
        <f>G88*H88</f>
        <v>0</v>
      </c>
      <c r="BK88" s="54" t="s">
        <v>161</v>
      </c>
      <c r="BL88" s="55">
        <v>97</v>
      </c>
      <c r="BW88" s="55">
        <f>I88</f>
        <v>21</v>
      </c>
      <c r="BX88" s="16" t="s">
        <v>387</v>
      </c>
    </row>
    <row r="89" spans="1:76" ht="15" customHeight="1" x14ac:dyDescent="0.3">
      <c r="A89" s="88"/>
      <c r="B89" s="89" t="s">
        <v>103</v>
      </c>
      <c r="C89" s="89" t="s">
        <v>388</v>
      </c>
      <c r="D89" s="198" t="s">
        <v>389</v>
      </c>
      <c r="E89" s="198"/>
      <c r="F89" s="88" t="s">
        <v>96</v>
      </c>
      <c r="G89" s="90" t="s">
        <v>96</v>
      </c>
      <c r="H89" s="88" t="s">
        <v>96</v>
      </c>
      <c r="I89" s="88" t="s">
        <v>96</v>
      </c>
      <c r="J89" s="91">
        <f>SUM(J90:J92)</f>
        <v>0</v>
      </c>
      <c r="K89" s="91">
        <f>SUM(K90:K92)</f>
        <v>0</v>
      </c>
      <c r="L89" s="91">
        <f>SUM(L90:L92)</f>
        <v>0</v>
      </c>
      <c r="M89" s="91">
        <f>SUM(M90:M92)</f>
        <v>0</v>
      </c>
      <c r="N89" s="92"/>
      <c r="O89" s="91">
        <f>SUM(O90:O92)</f>
        <v>605.73071723999999</v>
      </c>
      <c r="P89" s="92"/>
      <c r="AI89" s="75" t="s">
        <v>103</v>
      </c>
      <c r="AS89" s="68">
        <f>SUM(AJ90:AJ92)</f>
        <v>0</v>
      </c>
      <c r="AT89" s="68">
        <f>SUM(AK90:AK92)</f>
        <v>0</v>
      </c>
      <c r="AU89" s="68">
        <f>SUM(AL90:AL92)</f>
        <v>0</v>
      </c>
    </row>
    <row r="90" spans="1:76" ht="24" customHeight="1" x14ac:dyDescent="0.3">
      <c r="A90" s="94" t="s">
        <v>390</v>
      </c>
      <c r="B90" s="94" t="s">
        <v>103</v>
      </c>
      <c r="C90" s="94" t="s">
        <v>391</v>
      </c>
      <c r="D90" s="199" t="s">
        <v>392</v>
      </c>
      <c r="E90" s="199"/>
      <c r="F90" s="94" t="s">
        <v>366</v>
      </c>
      <c r="G90" s="96">
        <f>'Stavební rozpočet'!G90</f>
        <v>120.14</v>
      </c>
      <c r="H90" s="97">
        <f>'Stavební rozpočet'!H90</f>
        <v>0</v>
      </c>
      <c r="I90" s="98">
        <v>21</v>
      </c>
      <c r="J90" s="97">
        <f>ROUND(G90*AO90,2)</f>
        <v>0</v>
      </c>
      <c r="K90" s="97">
        <f>ROUND(G90*AP90,2)</f>
        <v>0</v>
      </c>
      <c r="L90" s="97">
        <f>ROUND(G90*H90,2)</f>
        <v>0</v>
      </c>
      <c r="M90" s="97">
        <f>L90*(1+BW90/100)</f>
        <v>0</v>
      </c>
      <c r="N90" s="97">
        <f>'Stavební rozpočet'!N90</f>
        <v>2.4113099999999998</v>
      </c>
      <c r="O90" s="97">
        <f>G90*N90</f>
        <v>289.69478340000001</v>
      </c>
      <c r="P90" s="99" t="s">
        <v>156</v>
      </c>
      <c r="Z90" s="55">
        <f>ROUND(IF(AQ90="5",BJ90,0),2)</f>
        <v>0</v>
      </c>
      <c r="AB90" s="55">
        <f>ROUND(IF(AQ90="1",BH90,0),2)</f>
        <v>0</v>
      </c>
      <c r="AC90" s="55">
        <f>ROUND(IF(AQ90="1",BI90,0),2)</f>
        <v>0</v>
      </c>
      <c r="AD90" s="55">
        <f>ROUND(IF(AQ90="7",BH90,0),2)</f>
        <v>0</v>
      </c>
      <c r="AE90" s="55">
        <f>ROUND(IF(AQ90="7",BI90,0),2)</f>
        <v>0</v>
      </c>
      <c r="AF90" s="55">
        <f>ROUND(IF(AQ90="2",BH90,0),2)</f>
        <v>0</v>
      </c>
      <c r="AG90" s="55">
        <f>ROUND(IF(AQ90="2",BI90,0),2)</f>
        <v>0</v>
      </c>
      <c r="AH90" s="55">
        <f>ROUND(IF(AQ90="0",BJ90,0),2)</f>
        <v>0</v>
      </c>
      <c r="AI90" s="75" t="s">
        <v>103</v>
      </c>
      <c r="AJ90" s="55">
        <f>IF(AN90=0,L90,0)</f>
        <v>0</v>
      </c>
      <c r="AK90" s="55">
        <f>IF(AN90=12,L90,0)</f>
        <v>0</v>
      </c>
      <c r="AL90" s="55">
        <f>IF(AN90=21,L90,0)</f>
        <v>0</v>
      </c>
      <c r="AN90" s="55">
        <v>21</v>
      </c>
      <c r="AO90" s="55">
        <f>H90*0.002898725</f>
        <v>0</v>
      </c>
      <c r="AP90" s="55">
        <f>H90*(1-0.002898725)</f>
        <v>0</v>
      </c>
      <c r="AQ90" s="54" t="s">
        <v>152</v>
      </c>
      <c r="AV90" s="55">
        <f>ROUND(AW90+AX90,2)</f>
        <v>0</v>
      </c>
      <c r="AW90" s="55">
        <f>ROUND(G90*AO90,2)</f>
        <v>0</v>
      </c>
      <c r="AX90" s="55">
        <f>ROUND(G90*AP90,2)</f>
        <v>0</v>
      </c>
      <c r="AY90" s="54" t="s">
        <v>393</v>
      </c>
      <c r="AZ90" s="54" t="s">
        <v>289</v>
      </c>
      <c r="BA90" s="75" t="s">
        <v>160</v>
      </c>
      <c r="BC90" s="55">
        <f>AW90+AX90</f>
        <v>0</v>
      </c>
      <c r="BD90" s="55">
        <f>H90/(100-BE90)*100</f>
        <v>0</v>
      </c>
      <c r="BE90" s="55">
        <v>0</v>
      </c>
      <c r="BF90" s="55">
        <f>O90</f>
        <v>289.69478340000001</v>
      </c>
      <c r="BH90" s="55">
        <f>G90*AO90</f>
        <v>0</v>
      </c>
      <c r="BI90" s="55">
        <f>G90*AP90</f>
        <v>0</v>
      </c>
      <c r="BJ90" s="55">
        <f>G90*H90</f>
        <v>0</v>
      </c>
      <c r="BK90" s="54" t="s">
        <v>161</v>
      </c>
      <c r="BL90" s="55">
        <v>98</v>
      </c>
      <c r="BW90" s="55">
        <f>I90</f>
        <v>21</v>
      </c>
      <c r="BX90" s="16" t="s">
        <v>392</v>
      </c>
    </row>
    <row r="91" spans="1:76" ht="24" customHeight="1" x14ac:dyDescent="0.3">
      <c r="A91" s="94" t="s">
        <v>394</v>
      </c>
      <c r="B91" s="94" t="s">
        <v>103</v>
      </c>
      <c r="C91" s="94" t="s">
        <v>391</v>
      </c>
      <c r="D91" s="199" t="s">
        <v>395</v>
      </c>
      <c r="E91" s="199"/>
      <c r="F91" s="94" t="s">
        <v>366</v>
      </c>
      <c r="G91" s="96">
        <f>'Stavební rozpočet'!G91</f>
        <v>47.097999999999999</v>
      </c>
      <c r="H91" s="97">
        <f>'Stavební rozpočet'!H91</f>
        <v>0</v>
      </c>
      <c r="I91" s="98">
        <v>21</v>
      </c>
      <c r="J91" s="97">
        <f>ROUND(G91*AO91,2)</f>
        <v>0</v>
      </c>
      <c r="K91" s="97">
        <f>ROUND(G91*AP91,2)</f>
        <v>0</v>
      </c>
      <c r="L91" s="97">
        <f>ROUND(G91*H91,2)</f>
        <v>0</v>
      </c>
      <c r="M91" s="97">
        <f>L91*(1+BW91/100)</f>
        <v>0</v>
      </c>
      <c r="N91" s="97">
        <f>'Stavební rozpočet'!N91</f>
        <v>2.4113099999999998</v>
      </c>
      <c r="O91" s="97">
        <f>G91*N91</f>
        <v>113.56787838</v>
      </c>
      <c r="P91" s="99" t="s">
        <v>156</v>
      </c>
      <c r="Z91" s="55">
        <f>ROUND(IF(AQ91="5",BJ91,0),2)</f>
        <v>0</v>
      </c>
      <c r="AB91" s="55">
        <f>ROUND(IF(AQ91="1",BH91,0),2)</f>
        <v>0</v>
      </c>
      <c r="AC91" s="55">
        <f>ROUND(IF(AQ91="1",BI91,0),2)</f>
        <v>0</v>
      </c>
      <c r="AD91" s="55">
        <f>ROUND(IF(AQ91="7",BH91,0),2)</f>
        <v>0</v>
      </c>
      <c r="AE91" s="55">
        <f>ROUND(IF(AQ91="7",BI91,0),2)</f>
        <v>0</v>
      </c>
      <c r="AF91" s="55">
        <f>ROUND(IF(AQ91="2",BH91,0),2)</f>
        <v>0</v>
      </c>
      <c r="AG91" s="55">
        <f>ROUND(IF(AQ91="2",BI91,0),2)</f>
        <v>0</v>
      </c>
      <c r="AH91" s="55">
        <f>ROUND(IF(AQ91="0",BJ91,0),2)</f>
        <v>0</v>
      </c>
      <c r="AI91" s="75" t="s">
        <v>103</v>
      </c>
      <c r="AJ91" s="55">
        <f>IF(AN91=0,L91,0)</f>
        <v>0</v>
      </c>
      <c r="AK91" s="55">
        <f>IF(AN91=12,L91,0)</f>
        <v>0</v>
      </c>
      <c r="AL91" s="55">
        <f>IF(AN91=21,L91,0)</f>
        <v>0</v>
      </c>
      <c r="AN91" s="55">
        <v>21</v>
      </c>
      <c r="AO91" s="55">
        <f>H91*0.002898723</f>
        <v>0</v>
      </c>
      <c r="AP91" s="55">
        <f>H91*(1-0.002898723)</f>
        <v>0</v>
      </c>
      <c r="AQ91" s="54" t="s">
        <v>152</v>
      </c>
      <c r="AV91" s="55">
        <f>ROUND(AW91+AX91,2)</f>
        <v>0</v>
      </c>
      <c r="AW91" s="55">
        <f>ROUND(G91*AO91,2)</f>
        <v>0</v>
      </c>
      <c r="AX91" s="55">
        <f>ROUND(G91*AP91,2)</f>
        <v>0</v>
      </c>
      <c r="AY91" s="54" t="s">
        <v>393</v>
      </c>
      <c r="AZ91" s="54" t="s">
        <v>289</v>
      </c>
      <c r="BA91" s="75" t="s">
        <v>160</v>
      </c>
      <c r="BC91" s="55">
        <f>AW91+AX91</f>
        <v>0</v>
      </c>
      <c r="BD91" s="55">
        <f>H91/(100-BE91)*100</f>
        <v>0</v>
      </c>
      <c r="BE91" s="55">
        <v>0</v>
      </c>
      <c r="BF91" s="55">
        <f>O91</f>
        <v>113.56787838</v>
      </c>
      <c r="BH91" s="55">
        <f>G91*AO91</f>
        <v>0</v>
      </c>
      <c r="BI91" s="55">
        <f>G91*AP91</f>
        <v>0</v>
      </c>
      <c r="BJ91" s="55">
        <f>G91*H91</f>
        <v>0</v>
      </c>
      <c r="BK91" s="54" t="s">
        <v>161</v>
      </c>
      <c r="BL91" s="55">
        <v>98</v>
      </c>
      <c r="BW91" s="55">
        <f>I91</f>
        <v>21</v>
      </c>
      <c r="BX91" s="16" t="s">
        <v>395</v>
      </c>
    </row>
    <row r="92" spans="1:76" ht="24" customHeight="1" x14ac:dyDescent="0.3">
      <c r="A92" s="94" t="s">
        <v>396</v>
      </c>
      <c r="B92" s="94" t="s">
        <v>103</v>
      </c>
      <c r="C92" s="94" t="s">
        <v>391</v>
      </c>
      <c r="D92" s="199" t="s">
        <v>397</v>
      </c>
      <c r="E92" s="199"/>
      <c r="F92" s="94" t="s">
        <v>366</v>
      </c>
      <c r="G92" s="96">
        <f>'Stavební rozpočet'!G92</f>
        <v>83.965999999999994</v>
      </c>
      <c r="H92" s="97">
        <f>'Stavební rozpočet'!H92</f>
        <v>0</v>
      </c>
      <c r="I92" s="98">
        <v>21</v>
      </c>
      <c r="J92" s="97">
        <f>ROUND(G92*AO92,2)</f>
        <v>0</v>
      </c>
      <c r="K92" s="97">
        <f>ROUND(G92*AP92,2)</f>
        <v>0</v>
      </c>
      <c r="L92" s="97">
        <f>ROUND(G92*H92,2)</f>
        <v>0</v>
      </c>
      <c r="M92" s="97">
        <f>L92*(1+BW92/100)</f>
        <v>0</v>
      </c>
      <c r="N92" s="97">
        <f>'Stavební rozpočet'!N92</f>
        <v>2.4113099999999998</v>
      </c>
      <c r="O92" s="97">
        <f>G92*N92</f>
        <v>202.46805545999996</v>
      </c>
      <c r="P92" s="99" t="s">
        <v>156</v>
      </c>
      <c r="Z92" s="55">
        <f>ROUND(IF(AQ92="5",BJ92,0),2)</f>
        <v>0</v>
      </c>
      <c r="AB92" s="55">
        <f>ROUND(IF(AQ92="1",BH92,0),2)</f>
        <v>0</v>
      </c>
      <c r="AC92" s="55">
        <f>ROUND(IF(AQ92="1",BI92,0),2)</f>
        <v>0</v>
      </c>
      <c r="AD92" s="55">
        <f>ROUND(IF(AQ92="7",BH92,0),2)</f>
        <v>0</v>
      </c>
      <c r="AE92" s="55">
        <f>ROUND(IF(AQ92="7",BI92,0),2)</f>
        <v>0</v>
      </c>
      <c r="AF92" s="55">
        <f>ROUND(IF(AQ92="2",BH92,0),2)</f>
        <v>0</v>
      </c>
      <c r="AG92" s="55">
        <f>ROUND(IF(AQ92="2",BI92,0),2)</f>
        <v>0</v>
      </c>
      <c r="AH92" s="55">
        <f>ROUND(IF(AQ92="0",BJ92,0),2)</f>
        <v>0</v>
      </c>
      <c r="AI92" s="75" t="s">
        <v>103</v>
      </c>
      <c r="AJ92" s="55">
        <f>IF(AN92=0,L92,0)</f>
        <v>0</v>
      </c>
      <c r="AK92" s="55">
        <f>IF(AN92=12,L92,0)</f>
        <v>0</v>
      </c>
      <c r="AL92" s="55">
        <f>IF(AN92=21,L92,0)</f>
        <v>0</v>
      </c>
      <c r="AN92" s="55">
        <v>21</v>
      </c>
      <c r="AO92" s="55">
        <f>H92*0.002898727</f>
        <v>0</v>
      </c>
      <c r="AP92" s="55">
        <f>H92*(1-0.002898727)</f>
        <v>0</v>
      </c>
      <c r="AQ92" s="54" t="s">
        <v>152</v>
      </c>
      <c r="AV92" s="55">
        <f>ROUND(AW92+AX92,2)</f>
        <v>0</v>
      </c>
      <c r="AW92" s="55">
        <f>ROUND(G92*AO92,2)</f>
        <v>0</v>
      </c>
      <c r="AX92" s="55">
        <f>ROUND(G92*AP92,2)</f>
        <v>0</v>
      </c>
      <c r="AY92" s="54" t="s">
        <v>393</v>
      </c>
      <c r="AZ92" s="54" t="s">
        <v>289</v>
      </c>
      <c r="BA92" s="75" t="s">
        <v>160</v>
      </c>
      <c r="BC92" s="55">
        <f>AW92+AX92</f>
        <v>0</v>
      </c>
      <c r="BD92" s="55">
        <f>H92/(100-BE92)*100</f>
        <v>0</v>
      </c>
      <c r="BE92" s="55">
        <v>0</v>
      </c>
      <c r="BF92" s="55">
        <f>O92</f>
        <v>202.46805545999996</v>
      </c>
      <c r="BH92" s="55">
        <f>G92*AO92</f>
        <v>0</v>
      </c>
      <c r="BI92" s="55">
        <f>G92*AP92</f>
        <v>0</v>
      </c>
      <c r="BJ92" s="55">
        <f>G92*H92</f>
        <v>0</v>
      </c>
      <c r="BK92" s="54" t="s">
        <v>161</v>
      </c>
      <c r="BL92" s="55">
        <v>98</v>
      </c>
      <c r="BW92" s="55">
        <f>I92</f>
        <v>21</v>
      </c>
      <c r="BX92" s="16" t="s">
        <v>397</v>
      </c>
    </row>
    <row r="93" spans="1:76" ht="15" customHeight="1" x14ac:dyDescent="0.3">
      <c r="A93" s="88"/>
      <c r="B93" s="89" t="s">
        <v>103</v>
      </c>
      <c r="C93" s="89" t="s">
        <v>398</v>
      </c>
      <c r="D93" s="198" t="s">
        <v>399</v>
      </c>
      <c r="E93" s="198"/>
      <c r="F93" s="88" t="s">
        <v>96</v>
      </c>
      <c r="G93" s="90" t="s">
        <v>96</v>
      </c>
      <c r="H93" s="88" t="s">
        <v>96</v>
      </c>
      <c r="I93" s="88" t="s">
        <v>96</v>
      </c>
      <c r="J93" s="91">
        <f>SUM(J94:J115)</f>
        <v>0</v>
      </c>
      <c r="K93" s="91">
        <f>SUM(K94:K115)</f>
        <v>0</v>
      </c>
      <c r="L93" s="91">
        <f>SUM(L94:L115)</f>
        <v>0</v>
      </c>
      <c r="M93" s="91">
        <f>SUM(M94:M115)</f>
        <v>0</v>
      </c>
      <c r="N93" s="92"/>
      <c r="O93" s="91">
        <f>SUM(O94:O115)</f>
        <v>0</v>
      </c>
      <c r="P93" s="92"/>
      <c r="AI93" s="75" t="s">
        <v>103</v>
      </c>
      <c r="AS93" s="68">
        <f>SUM(AJ94:AJ115)</f>
        <v>0</v>
      </c>
      <c r="AT93" s="68">
        <f>SUM(AK94:AK115)</f>
        <v>0</v>
      </c>
      <c r="AU93" s="68">
        <f>SUM(AL94:AL115)</f>
        <v>0</v>
      </c>
    </row>
    <row r="94" spans="1:76" ht="24" customHeight="1" x14ac:dyDescent="0.3">
      <c r="A94" s="94" t="s">
        <v>400</v>
      </c>
      <c r="B94" s="94" t="s">
        <v>103</v>
      </c>
      <c r="C94" s="94" t="s">
        <v>401</v>
      </c>
      <c r="D94" s="199" t="s">
        <v>402</v>
      </c>
      <c r="E94" s="199"/>
      <c r="F94" s="94" t="s">
        <v>323</v>
      </c>
      <c r="G94" s="96">
        <f>'Stavební rozpočet'!G94</f>
        <v>9.4580000000000002</v>
      </c>
      <c r="H94" s="97">
        <f>'Stavební rozpočet'!H94</f>
        <v>0</v>
      </c>
      <c r="I94" s="98">
        <v>21</v>
      </c>
      <c r="J94" s="97">
        <f t="shared" ref="J94:J115" si="82">ROUND(G94*AO94,2)</f>
        <v>0</v>
      </c>
      <c r="K94" s="97">
        <f t="shared" ref="K94:K115" si="83">ROUND(G94*AP94,2)</f>
        <v>0</v>
      </c>
      <c r="L94" s="97">
        <f t="shared" ref="L94:L115" si="84">ROUND(G94*H94,2)</f>
        <v>0</v>
      </c>
      <c r="M94" s="97">
        <f t="shared" ref="M94:M115" si="85">L94*(1+BW94/100)</f>
        <v>0</v>
      </c>
      <c r="N94" s="97">
        <f>'Stavební rozpočet'!N94</f>
        <v>0</v>
      </c>
      <c r="O94" s="97">
        <f t="shared" ref="O94:O115" si="86">G94*N94</f>
        <v>0</v>
      </c>
      <c r="P94" s="99" t="s">
        <v>156</v>
      </c>
      <c r="Z94" s="55">
        <f t="shared" ref="Z94:Z115" si="87">ROUND(IF(AQ94="5",BJ94,0),2)</f>
        <v>0</v>
      </c>
      <c r="AB94" s="55">
        <f t="shared" ref="AB94:AB115" si="88">ROUND(IF(AQ94="1",BH94,0),2)</f>
        <v>0</v>
      </c>
      <c r="AC94" s="55">
        <f t="shared" ref="AC94:AC115" si="89">ROUND(IF(AQ94="1",BI94,0),2)</f>
        <v>0</v>
      </c>
      <c r="AD94" s="55">
        <f t="shared" ref="AD94:AD115" si="90">ROUND(IF(AQ94="7",BH94,0),2)</f>
        <v>0</v>
      </c>
      <c r="AE94" s="55">
        <f t="shared" ref="AE94:AE115" si="91">ROUND(IF(AQ94="7",BI94,0),2)</f>
        <v>0</v>
      </c>
      <c r="AF94" s="55">
        <f t="shared" ref="AF94:AF115" si="92">ROUND(IF(AQ94="2",BH94,0),2)</f>
        <v>0</v>
      </c>
      <c r="AG94" s="55">
        <f t="shared" ref="AG94:AG115" si="93">ROUND(IF(AQ94="2",BI94,0),2)</f>
        <v>0</v>
      </c>
      <c r="AH94" s="55">
        <f t="shared" ref="AH94:AH115" si="94">ROUND(IF(AQ94="0",BJ94,0),2)</f>
        <v>0</v>
      </c>
      <c r="AI94" s="75" t="s">
        <v>103</v>
      </c>
      <c r="AJ94" s="55">
        <f t="shared" ref="AJ94:AJ115" si="95">IF(AN94=0,L94,0)</f>
        <v>0</v>
      </c>
      <c r="AK94" s="55">
        <f t="shared" ref="AK94:AK115" si="96">IF(AN94=12,L94,0)</f>
        <v>0</v>
      </c>
      <c r="AL94" s="55">
        <f t="shared" ref="AL94:AL115" si="97">IF(AN94=21,L94,0)</f>
        <v>0</v>
      </c>
      <c r="AN94" s="55">
        <v>21</v>
      </c>
      <c r="AO94" s="55">
        <f t="shared" ref="AO94:AO115" si="98">H94*0</f>
        <v>0</v>
      </c>
      <c r="AP94" s="55">
        <f t="shared" ref="AP94:AP115" si="99">H94*(1-0)</f>
        <v>0</v>
      </c>
      <c r="AQ94" s="54" t="s">
        <v>179</v>
      </c>
      <c r="AV94" s="55">
        <f t="shared" ref="AV94:AV115" si="100">ROUND(AW94+AX94,2)</f>
        <v>0</v>
      </c>
      <c r="AW94" s="55">
        <f t="shared" ref="AW94:AW115" si="101">ROUND(G94*AO94,2)</f>
        <v>0</v>
      </c>
      <c r="AX94" s="55">
        <f t="shared" ref="AX94:AX115" si="102">ROUND(G94*AP94,2)</f>
        <v>0</v>
      </c>
      <c r="AY94" s="54" t="s">
        <v>403</v>
      </c>
      <c r="AZ94" s="54" t="s">
        <v>289</v>
      </c>
      <c r="BA94" s="75" t="s">
        <v>160</v>
      </c>
      <c r="BC94" s="55">
        <f t="shared" ref="BC94:BC115" si="103">AW94+AX94</f>
        <v>0</v>
      </c>
      <c r="BD94" s="55">
        <f t="shared" ref="BD94:BD115" si="104">H94/(100-BE94)*100</f>
        <v>0</v>
      </c>
      <c r="BE94" s="55">
        <v>0</v>
      </c>
      <c r="BF94" s="55">
        <f t="shared" ref="BF94:BF115" si="105">O94</f>
        <v>0</v>
      </c>
      <c r="BH94" s="55">
        <f t="shared" ref="BH94:BH115" si="106">G94*AO94</f>
        <v>0</v>
      </c>
      <c r="BI94" s="55">
        <f t="shared" ref="BI94:BI115" si="107">G94*AP94</f>
        <v>0</v>
      </c>
      <c r="BJ94" s="55">
        <f t="shared" ref="BJ94:BJ115" si="108">G94*H94</f>
        <v>0</v>
      </c>
      <c r="BK94" s="54" t="s">
        <v>161</v>
      </c>
      <c r="BL94" s="55"/>
      <c r="BW94" s="55">
        <f t="shared" ref="BW94:BW115" si="109">I94</f>
        <v>21</v>
      </c>
      <c r="BX94" s="16" t="s">
        <v>402</v>
      </c>
    </row>
    <row r="95" spans="1:76" ht="24" customHeight="1" x14ac:dyDescent="0.3">
      <c r="A95" s="94" t="s">
        <v>404</v>
      </c>
      <c r="B95" s="94" t="s">
        <v>103</v>
      </c>
      <c r="C95" s="94" t="s">
        <v>405</v>
      </c>
      <c r="D95" s="199" t="s">
        <v>406</v>
      </c>
      <c r="E95" s="199"/>
      <c r="F95" s="94" t="s">
        <v>323</v>
      </c>
      <c r="G95" s="96">
        <f>'Stavební rozpočet'!G95</f>
        <v>199.53</v>
      </c>
      <c r="H95" s="97">
        <f>'Stavební rozpočet'!H95</f>
        <v>0</v>
      </c>
      <c r="I95" s="98">
        <v>21</v>
      </c>
      <c r="J95" s="97">
        <f t="shared" si="82"/>
        <v>0</v>
      </c>
      <c r="K95" s="97">
        <f t="shared" si="83"/>
        <v>0</v>
      </c>
      <c r="L95" s="97">
        <f t="shared" si="84"/>
        <v>0</v>
      </c>
      <c r="M95" s="97">
        <f t="shared" si="85"/>
        <v>0</v>
      </c>
      <c r="N95" s="97">
        <f>'Stavební rozpočet'!N95</f>
        <v>0</v>
      </c>
      <c r="O95" s="97">
        <f t="shared" si="86"/>
        <v>0</v>
      </c>
      <c r="P95" s="99" t="s">
        <v>156</v>
      </c>
      <c r="Z95" s="55">
        <f t="shared" si="87"/>
        <v>0</v>
      </c>
      <c r="AB95" s="55">
        <f t="shared" si="88"/>
        <v>0</v>
      </c>
      <c r="AC95" s="55">
        <f t="shared" si="89"/>
        <v>0</v>
      </c>
      <c r="AD95" s="55">
        <f t="shared" si="90"/>
        <v>0</v>
      </c>
      <c r="AE95" s="55">
        <f t="shared" si="91"/>
        <v>0</v>
      </c>
      <c r="AF95" s="55">
        <f t="shared" si="92"/>
        <v>0</v>
      </c>
      <c r="AG95" s="55">
        <f t="shared" si="93"/>
        <v>0</v>
      </c>
      <c r="AH95" s="55">
        <f t="shared" si="94"/>
        <v>0</v>
      </c>
      <c r="AI95" s="75" t="s">
        <v>103</v>
      </c>
      <c r="AJ95" s="55">
        <f t="shared" si="95"/>
        <v>0</v>
      </c>
      <c r="AK95" s="55">
        <f t="shared" si="96"/>
        <v>0</v>
      </c>
      <c r="AL95" s="55">
        <f t="shared" si="97"/>
        <v>0</v>
      </c>
      <c r="AN95" s="55">
        <v>21</v>
      </c>
      <c r="AO95" s="55">
        <f t="shared" si="98"/>
        <v>0</v>
      </c>
      <c r="AP95" s="55">
        <f t="shared" si="99"/>
        <v>0</v>
      </c>
      <c r="AQ95" s="54" t="s">
        <v>179</v>
      </c>
      <c r="AV95" s="55">
        <f t="shared" si="100"/>
        <v>0</v>
      </c>
      <c r="AW95" s="55">
        <f t="shared" si="101"/>
        <v>0</v>
      </c>
      <c r="AX95" s="55">
        <f t="shared" si="102"/>
        <v>0</v>
      </c>
      <c r="AY95" s="54" t="s">
        <v>403</v>
      </c>
      <c r="AZ95" s="54" t="s">
        <v>289</v>
      </c>
      <c r="BA95" s="75" t="s">
        <v>160</v>
      </c>
      <c r="BC95" s="55">
        <f t="shared" si="103"/>
        <v>0</v>
      </c>
      <c r="BD95" s="55">
        <f t="shared" si="104"/>
        <v>0</v>
      </c>
      <c r="BE95" s="55">
        <v>0</v>
      </c>
      <c r="BF95" s="55">
        <f t="shared" si="105"/>
        <v>0</v>
      </c>
      <c r="BH95" s="55">
        <f t="shared" si="106"/>
        <v>0</v>
      </c>
      <c r="BI95" s="55">
        <f t="shared" si="107"/>
        <v>0</v>
      </c>
      <c r="BJ95" s="55">
        <f t="shared" si="108"/>
        <v>0</v>
      </c>
      <c r="BK95" s="54" t="s">
        <v>161</v>
      </c>
      <c r="BL95" s="55"/>
      <c r="BW95" s="55">
        <f t="shared" si="109"/>
        <v>21</v>
      </c>
      <c r="BX95" s="16" t="s">
        <v>406</v>
      </c>
    </row>
    <row r="96" spans="1:76" ht="15" customHeight="1" x14ac:dyDescent="0.3">
      <c r="A96" s="94" t="s">
        <v>407</v>
      </c>
      <c r="B96" s="94" t="s">
        <v>103</v>
      </c>
      <c r="C96" s="94" t="s">
        <v>408</v>
      </c>
      <c r="D96" s="199" t="s">
        <v>409</v>
      </c>
      <c r="E96" s="199"/>
      <c r="F96" s="94" t="s">
        <v>323</v>
      </c>
      <c r="G96" s="96">
        <f>'Stavební rozpočet'!G96</f>
        <v>23.247</v>
      </c>
      <c r="H96" s="97">
        <f>'Stavební rozpočet'!H96</f>
        <v>0</v>
      </c>
      <c r="I96" s="98">
        <v>21</v>
      </c>
      <c r="J96" s="97">
        <f t="shared" si="82"/>
        <v>0</v>
      </c>
      <c r="K96" s="97">
        <f t="shared" si="83"/>
        <v>0</v>
      </c>
      <c r="L96" s="97">
        <f t="shared" si="84"/>
        <v>0</v>
      </c>
      <c r="M96" s="97">
        <f t="shared" si="85"/>
        <v>0</v>
      </c>
      <c r="N96" s="97">
        <f>'Stavební rozpočet'!N96</f>
        <v>0</v>
      </c>
      <c r="O96" s="97">
        <f t="shared" si="86"/>
        <v>0</v>
      </c>
      <c r="P96" s="99" t="s">
        <v>156</v>
      </c>
      <c r="Z96" s="55">
        <f t="shared" si="87"/>
        <v>0</v>
      </c>
      <c r="AB96" s="55">
        <f t="shared" si="88"/>
        <v>0</v>
      </c>
      <c r="AC96" s="55">
        <f t="shared" si="89"/>
        <v>0</v>
      </c>
      <c r="AD96" s="55">
        <f t="shared" si="90"/>
        <v>0</v>
      </c>
      <c r="AE96" s="55">
        <f t="shared" si="91"/>
        <v>0</v>
      </c>
      <c r="AF96" s="55">
        <f t="shared" si="92"/>
        <v>0</v>
      </c>
      <c r="AG96" s="55">
        <f t="shared" si="93"/>
        <v>0</v>
      </c>
      <c r="AH96" s="55">
        <f t="shared" si="94"/>
        <v>0</v>
      </c>
      <c r="AI96" s="75" t="s">
        <v>103</v>
      </c>
      <c r="AJ96" s="55">
        <f t="shared" si="95"/>
        <v>0</v>
      </c>
      <c r="AK96" s="55">
        <f t="shared" si="96"/>
        <v>0</v>
      </c>
      <c r="AL96" s="55">
        <f t="shared" si="97"/>
        <v>0</v>
      </c>
      <c r="AN96" s="55">
        <v>21</v>
      </c>
      <c r="AO96" s="55">
        <f t="shared" si="98"/>
        <v>0</v>
      </c>
      <c r="AP96" s="55">
        <f t="shared" si="99"/>
        <v>0</v>
      </c>
      <c r="AQ96" s="54" t="s">
        <v>179</v>
      </c>
      <c r="AV96" s="55">
        <f t="shared" si="100"/>
        <v>0</v>
      </c>
      <c r="AW96" s="55">
        <f t="shared" si="101"/>
        <v>0</v>
      </c>
      <c r="AX96" s="55">
        <f t="shared" si="102"/>
        <v>0</v>
      </c>
      <c r="AY96" s="54" t="s">
        <v>403</v>
      </c>
      <c r="AZ96" s="54" t="s">
        <v>289</v>
      </c>
      <c r="BA96" s="75" t="s">
        <v>160</v>
      </c>
      <c r="BC96" s="55">
        <f t="shared" si="103"/>
        <v>0</v>
      </c>
      <c r="BD96" s="55">
        <f t="shared" si="104"/>
        <v>0</v>
      </c>
      <c r="BE96" s="55">
        <v>0</v>
      </c>
      <c r="BF96" s="55">
        <f t="shared" si="105"/>
        <v>0</v>
      </c>
      <c r="BH96" s="55">
        <f t="shared" si="106"/>
        <v>0</v>
      </c>
      <c r="BI96" s="55">
        <f t="shared" si="107"/>
        <v>0</v>
      </c>
      <c r="BJ96" s="55">
        <f t="shared" si="108"/>
        <v>0</v>
      </c>
      <c r="BK96" s="54" t="s">
        <v>161</v>
      </c>
      <c r="BL96" s="55"/>
      <c r="BW96" s="55">
        <f t="shared" si="109"/>
        <v>21</v>
      </c>
      <c r="BX96" s="16" t="s">
        <v>409</v>
      </c>
    </row>
    <row r="97" spans="1:76" ht="24" customHeight="1" x14ac:dyDescent="0.3">
      <c r="A97" s="94" t="s">
        <v>410</v>
      </c>
      <c r="B97" s="94" t="s">
        <v>103</v>
      </c>
      <c r="C97" s="94" t="s">
        <v>411</v>
      </c>
      <c r="D97" s="199" t="s">
        <v>412</v>
      </c>
      <c r="E97" s="199"/>
      <c r="F97" s="94" t="s">
        <v>323</v>
      </c>
      <c r="G97" s="96">
        <f>'Stavební rozpočet'!G97</f>
        <v>0.27</v>
      </c>
      <c r="H97" s="97">
        <f>'Stavební rozpočet'!H97</f>
        <v>0</v>
      </c>
      <c r="I97" s="98">
        <v>21</v>
      </c>
      <c r="J97" s="97">
        <f t="shared" si="82"/>
        <v>0</v>
      </c>
      <c r="K97" s="97">
        <f t="shared" si="83"/>
        <v>0</v>
      </c>
      <c r="L97" s="97">
        <f t="shared" si="84"/>
        <v>0</v>
      </c>
      <c r="M97" s="97">
        <f t="shared" si="85"/>
        <v>0</v>
      </c>
      <c r="N97" s="97">
        <f>'Stavební rozpočet'!N97</f>
        <v>0</v>
      </c>
      <c r="O97" s="97">
        <f t="shared" si="86"/>
        <v>0</v>
      </c>
      <c r="P97" s="99" t="s">
        <v>156</v>
      </c>
      <c r="Z97" s="55">
        <f t="shared" si="87"/>
        <v>0</v>
      </c>
      <c r="AB97" s="55">
        <f t="shared" si="88"/>
        <v>0</v>
      </c>
      <c r="AC97" s="55">
        <f t="shared" si="89"/>
        <v>0</v>
      </c>
      <c r="AD97" s="55">
        <f t="shared" si="90"/>
        <v>0</v>
      </c>
      <c r="AE97" s="55">
        <f t="shared" si="91"/>
        <v>0</v>
      </c>
      <c r="AF97" s="55">
        <f t="shared" si="92"/>
        <v>0</v>
      </c>
      <c r="AG97" s="55">
        <f t="shared" si="93"/>
        <v>0</v>
      </c>
      <c r="AH97" s="55">
        <f t="shared" si="94"/>
        <v>0</v>
      </c>
      <c r="AI97" s="75" t="s">
        <v>103</v>
      </c>
      <c r="AJ97" s="55">
        <f t="shared" si="95"/>
        <v>0</v>
      </c>
      <c r="AK97" s="55">
        <f t="shared" si="96"/>
        <v>0</v>
      </c>
      <c r="AL97" s="55">
        <f t="shared" si="97"/>
        <v>0</v>
      </c>
      <c r="AN97" s="55">
        <v>21</v>
      </c>
      <c r="AO97" s="55">
        <f t="shared" si="98"/>
        <v>0</v>
      </c>
      <c r="AP97" s="55">
        <f t="shared" si="99"/>
        <v>0</v>
      </c>
      <c r="AQ97" s="54" t="s">
        <v>179</v>
      </c>
      <c r="AV97" s="55">
        <f t="shared" si="100"/>
        <v>0</v>
      </c>
      <c r="AW97" s="55">
        <f t="shared" si="101"/>
        <v>0</v>
      </c>
      <c r="AX97" s="55">
        <f t="shared" si="102"/>
        <v>0</v>
      </c>
      <c r="AY97" s="54" t="s">
        <v>403</v>
      </c>
      <c r="AZ97" s="54" t="s">
        <v>289</v>
      </c>
      <c r="BA97" s="75" t="s">
        <v>160</v>
      </c>
      <c r="BC97" s="55">
        <f t="shared" si="103"/>
        <v>0</v>
      </c>
      <c r="BD97" s="55">
        <f t="shared" si="104"/>
        <v>0</v>
      </c>
      <c r="BE97" s="55">
        <v>0</v>
      </c>
      <c r="BF97" s="55">
        <f t="shared" si="105"/>
        <v>0</v>
      </c>
      <c r="BH97" s="55">
        <f t="shared" si="106"/>
        <v>0</v>
      </c>
      <c r="BI97" s="55">
        <f t="shared" si="107"/>
        <v>0</v>
      </c>
      <c r="BJ97" s="55">
        <f t="shared" si="108"/>
        <v>0</v>
      </c>
      <c r="BK97" s="54" t="s">
        <v>161</v>
      </c>
      <c r="BL97" s="55"/>
      <c r="BW97" s="55">
        <f t="shared" si="109"/>
        <v>21</v>
      </c>
      <c r="BX97" s="16" t="s">
        <v>412</v>
      </c>
    </row>
    <row r="98" spans="1:76" ht="24" customHeight="1" x14ac:dyDescent="0.3">
      <c r="A98" s="94" t="s">
        <v>413</v>
      </c>
      <c r="B98" s="94" t="s">
        <v>103</v>
      </c>
      <c r="C98" s="94" t="s">
        <v>414</v>
      </c>
      <c r="D98" s="199" t="s">
        <v>415</v>
      </c>
      <c r="E98" s="199"/>
      <c r="F98" s="94" t="s">
        <v>323</v>
      </c>
      <c r="G98" s="96">
        <f>'Stavební rozpočet'!G98</f>
        <v>2.61</v>
      </c>
      <c r="H98" s="97">
        <f>'Stavební rozpočet'!H98</f>
        <v>0</v>
      </c>
      <c r="I98" s="98">
        <v>21</v>
      </c>
      <c r="J98" s="97">
        <f t="shared" si="82"/>
        <v>0</v>
      </c>
      <c r="K98" s="97">
        <f t="shared" si="83"/>
        <v>0</v>
      </c>
      <c r="L98" s="97">
        <f t="shared" si="84"/>
        <v>0</v>
      </c>
      <c r="M98" s="97">
        <f t="shared" si="85"/>
        <v>0</v>
      </c>
      <c r="N98" s="97">
        <f>'Stavební rozpočet'!N98</f>
        <v>0</v>
      </c>
      <c r="O98" s="97">
        <f t="shared" si="86"/>
        <v>0</v>
      </c>
      <c r="P98" s="99" t="s">
        <v>156</v>
      </c>
      <c r="Z98" s="55">
        <f t="shared" si="87"/>
        <v>0</v>
      </c>
      <c r="AB98" s="55">
        <f t="shared" si="88"/>
        <v>0</v>
      </c>
      <c r="AC98" s="55">
        <f t="shared" si="89"/>
        <v>0</v>
      </c>
      <c r="AD98" s="55">
        <f t="shared" si="90"/>
        <v>0</v>
      </c>
      <c r="AE98" s="55">
        <f t="shared" si="91"/>
        <v>0</v>
      </c>
      <c r="AF98" s="55">
        <f t="shared" si="92"/>
        <v>0</v>
      </c>
      <c r="AG98" s="55">
        <f t="shared" si="93"/>
        <v>0</v>
      </c>
      <c r="AH98" s="55">
        <f t="shared" si="94"/>
        <v>0</v>
      </c>
      <c r="AI98" s="75" t="s">
        <v>103</v>
      </c>
      <c r="AJ98" s="55">
        <f t="shared" si="95"/>
        <v>0</v>
      </c>
      <c r="AK98" s="55">
        <f t="shared" si="96"/>
        <v>0</v>
      </c>
      <c r="AL98" s="55">
        <f t="shared" si="97"/>
        <v>0</v>
      </c>
      <c r="AN98" s="55">
        <v>21</v>
      </c>
      <c r="AO98" s="55">
        <f t="shared" si="98"/>
        <v>0</v>
      </c>
      <c r="AP98" s="55">
        <f t="shared" si="99"/>
        <v>0</v>
      </c>
      <c r="AQ98" s="54" t="s">
        <v>179</v>
      </c>
      <c r="AV98" s="55">
        <f t="shared" si="100"/>
        <v>0</v>
      </c>
      <c r="AW98" s="55">
        <f t="shared" si="101"/>
        <v>0</v>
      </c>
      <c r="AX98" s="55">
        <f t="shared" si="102"/>
        <v>0</v>
      </c>
      <c r="AY98" s="54" t="s">
        <v>403</v>
      </c>
      <c r="AZ98" s="54" t="s">
        <v>289</v>
      </c>
      <c r="BA98" s="75" t="s">
        <v>160</v>
      </c>
      <c r="BC98" s="55">
        <f t="shared" si="103"/>
        <v>0</v>
      </c>
      <c r="BD98" s="55">
        <f t="shared" si="104"/>
        <v>0</v>
      </c>
      <c r="BE98" s="55">
        <v>0</v>
      </c>
      <c r="BF98" s="55">
        <f t="shared" si="105"/>
        <v>0</v>
      </c>
      <c r="BH98" s="55">
        <f t="shared" si="106"/>
        <v>0</v>
      </c>
      <c r="BI98" s="55">
        <f t="shared" si="107"/>
        <v>0</v>
      </c>
      <c r="BJ98" s="55">
        <f t="shared" si="108"/>
        <v>0</v>
      </c>
      <c r="BK98" s="54" t="s">
        <v>161</v>
      </c>
      <c r="BL98" s="55"/>
      <c r="BW98" s="55">
        <f t="shared" si="109"/>
        <v>21</v>
      </c>
      <c r="BX98" s="16" t="s">
        <v>415</v>
      </c>
    </row>
    <row r="99" spans="1:76" ht="15" customHeight="1" x14ac:dyDescent="0.3">
      <c r="A99" s="94" t="s">
        <v>416</v>
      </c>
      <c r="B99" s="94" t="s">
        <v>103</v>
      </c>
      <c r="C99" s="94" t="s">
        <v>417</v>
      </c>
      <c r="D99" s="199" t="s">
        <v>418</v>
      </c>
      <c r="E99" s="199"/>
      <c r="F99" s="94" t="s">
        <v>323</v>
      </c>
      <c r="G99" s="96">
        <f>'Stavební rozpočet'!G99</f>
        <v>1.7150000000000001</v>
      </c>
      <c r="H99" s="97">
        <f>'Stavební rozpočet'!H99</f>
        <v>0</v>
      </c>
      <c r="I99" s="98">
        <v>21</v>
      </c>
      <c r="J99" s="97">
        <f t="shared" si="82"/>
        <v>0</v>
      </c>
      <c r="K99" s="97">
        <f t="shared" si="83"/>
        <v>0</v>
      </c>
      <c r="L99" s="97">
        <f t="shared" si="84"/>
        <v>0</v>
      </c>
      <c r="M99" s="97">
        <f t="shared" si="85"/>
        <v>0</v>
      </c>
      <c r="N99" s="97">
        <f>'Stavební rozpočet'!N99</f>
        <v>0</v>
      </c>
      <c r="O99" s="97">
        <f t="shared" si="86"/>
        <v>0</v>
      </c>
      <c r="P99" s="99" t="s">
        <v>156</v>
      </c>
      <c r="Z99" s="55">
        <f t="shared" si="87"/>
        <v>0</v>
      </c>
      <c r="AB99" s="55">
        <f t="shared" si="88"/>
        <v>0</v>
      </c>
      <c r="AC99" s="55">
        <f t="shared" si="89"/>
        <v>0</v>
      </c>
      <c r="AD99" s="55">
        <f t="shared" si="90"/>
        <v>0</v>
      </c>
      <c r="AE99" s="55">
        <f t="shared" si="91"/>
        <v>0</v>
      </c>
      <c r="AF99" s="55">
        <f t="shared" si="92"/>
        <v>0</v>
      </c>
      <c r="AG99" s="55">
        <f t="shared" si="93"/>
        <v>0</v>
      </c>
      <c r="AH99" s="55">
        <f t="shared" si="94"/>
        <v>0</v>
      </c>
      <c r="AI99" s="75" t="s">
        <v>103</v>
      </c>
      <c r="AJ99" s="55">
        <f t="shared" si="95"/>
        <v>0</v>
      </c>
      <c r="AK99" s="55">
        <f t="shared" si="96"/>
        <v>0</v>
      </c>
      <c r="AL99" s="55">
        <f t="shared" si="97"/>
        <v>0</v>
      </c>
      <c r="AN99" s="55">
        <v>21</v>
      </c>
      <c r="AO99" s="55">
        <f t="shared" si="98"/>
        <v>0</v>
      </c>
      <c r="AP99" s="55">
        <f t="shared" si="99"/>
        <v>0</v>
      </c>
      <c r="AQ99" s="54" t="s">
        <v>179</v>
      </c>
      <c r="AV99" s="55">
        <f t="shared" si="100"/>
        <v>0</v>
      </c>
      <c r="AW99" s="55">
        <f t="shared" si="101"/>
        <v>0</v>
      </c>
      <c r="AX99" s="55">
        <f t="shared" si="102"/>
        <v>0</v>
      </c>
      <c r="AY99" s="54" t="s">
        <v>403</v>
      </c>
      <c r="AZ99" s="54" t="s">
        <v>289</v>
      </c>
      <c r="BA99" s="75" t="s">
        <v>160</v>
      </c>
      <c r="BC99" s="55">
        <f t="shared" si="103"/>
        <v>0</v>
      </c>
      <c r="BD99" s="55">
        <f t="shared" si="104"/>
        <v>0</v>
      </c>
      <c r="BE99" s="55">
        <v>0</v>
      </c>
      <c r="BF99" s="55">
        <f t="shared" si="105"/>
        <v>0</v>
      </c>
      <c r="BH99" s="55">
        <f t="shared" si="106"/>
        <v>0</v>
      </c>
      <c r="BI99" s="55">
        <f t="shared" si="107"/>
        <v>0</v>
      </c>
      <c r="BJ99" s="55">
        <f t="shared" si="108"/>
        <v>0</v>
      </c>
      <c r="BK99" s="54" t="s">
        <v>161</v>
      </c>
      <c r="BL99" s="55"/>
      <c r="BW99" s="55">
        <f t="shared" si="109"/>
        <v>21</v>
      </c>
      <c r="BX99" s="16" t="s">
        <v>418</v>
      </c>
    </row>
    <row r="100" spans="1:76" ht="15" customHeight="1" x14ac:dyDescent="0.3">
      <c r="A100" s="94" t="s">
        <v>419</v>
      </c>
      <c r="B100" s="94" t="s">
        <v>103</v>
      </c>
      <c r="C100" s="94" t="s">
        <v>420</v>
      </c>
      <c r="D100" s="199" t="s">
        <v>421</v>
      </c>
      <c r="E100" s="199"/>
      <c r="F100" s="94" t="s">
        <v>323</v>
      </c>
      <c r="G100" s="96">
        <f>'Stavební rozpočet'!G100</f>
        <v>0.55300000000000005</v>
      </c>
      <c r="H100" s="97">
        <f>'Stavební rozpočet'!H100</f>
        <v>0</v>
      </c>
      <c r="I100" s="98">
        <v>21</v>
      </c>
      <c r="J100" s="97">
        <f t="shared" si="82"/>
        <v>0</v>
      </c>
      <c r="K100" s="97">
        <f t="shared" si="83"/>
        <v>0</v>
      </c>
      <c r="L100" s="97">
        <f t="shared" si="84"/>
        <v>0</v>
      </c>
      <c r="M100" s="97">
        <f t="shared" si="85"/>
        <v>0</v>
      </c>
      <c r="N100" s="97">
        <f>'Stavební rozpočet'!N100</f>
        <v>0</v>
      </c>
      <c r="O100" s="97">
        <f t="shared" si="86"/>
        <v>0</v>
      </c>
      <c r="P100" s="99" t="s">
        <v>156</v>
      </c>
      <c r="Z100" s="55">
        <f t="shared" si="87"/>
        <v>0</v>
      </c>
      <c r="AB100" s="55">
        <f t="shared" si="88"/>
        <v>0</v>
      </c>
      <c r="AC100" s="55">
        <f t="shared" si="89"/>
        <v>0</v>
      </c>
      <c r="AD100" s="55">
        <f t="shared" si="90"/>
        <v>0</v>
      </c>
      <c r="AE100" s="55">
        <f t="shared" si="91"/>
        <v>0</v>
      </c>
      <c r="AF100" s="55">
        <f t="shared" si="92"/>
        <v>0</v>
      </c>
      <c r="AG100" s="55">
        <f t="shared" si="93"/>
        <v>0</v>
      </c>
      <c r="AH100" s="55">
        <f t="shared" si="94"/>
        <v>0</v>
      </c>
      <c r="AI100" s="75" t="s">
        <v>103</v>
      </c>
      <c r="AJ100" s="55">
        <f t="shared" si="95"/>
        <v>0</v>
      </c>
      <c r="AK100" s="55">
        <f t="shared" si="96"/>
        <v>0</v>
      </c>
      <c r="AL100" s="55">
        <f t="shared" si="97"/>
        <v>0</v>
      </c>
      <c r="AN100" s="55">
        <v>21</v>
      </c>
      <c r="AO100" s="55">
        <f t="shared" si="98"/>
        <v>0</v>
      </c>
      <c r="AP100" s="55">
        <f t="shared" si="99"/>
        <v>0</v>
      </c>
      <c r="AQ100" s="54" t="s">
        <v>179</v>
      </c>
      <c r="AV100" s="55">
        <f t="shared" si="100"/>
        <v>0</v>
      </c>
      <c r="AW100" s="55">
        <f t="shared" si="101"/>
        <v>0</v>
      </c>
      <c r="AX100" s="55">
        <f t="shared" si="102"/>
        <v>0</v>
      </c>
      <c r="AY100" s="54" t="s">
        <v>403</v>
      </c>
      <c r="AZ100" s="54" t="s">
        <v>289</v>
      </c>
      <c r="BA100" s="75" t="s">
        <v>160</v>
      </c>
      <c r="BC100" s="55">
        <f t="shared" si="103"/>
        <v>0</v>
      </c>
      <c r="BD100" s="55">
        <f t="shared" si="104"/>
        <v>0</v>
      </c>
      <c r="BE100" s="55">
        <v>0</v>
      </c>
      <c r="BF100" s="55">
        <f t="shared" si="105"/>
        <v>0</v>
      </c>
      <c r="BH100" s="55">
        <f t="shared" si="106"/>
        <v>0</v>
      </c>
      <c r="BI100" s="55">
        <f t="shared" si="107"/>
        <v>0</v>
      </c>
      <c r="BJ100" s="55">
        <f t="shared" si="108"/>
        <v>0</v>
      </c>
      <c r="BK100" s="54" t="s">
        <v>161</v>
      </c>
      <c r="BL100" s="55"/>
      <c r="BW100" s="55">
        <f t="shared" si="109"/>
        <v>21</v>
      </c>
      <c r="BX100" s="16" t="s">
        <v>421</v>
      </c>
    </row>
    <row r="101" spans="1:76" ht="15" customHeight="1" x14ac:dyDescent="0.3">
      <c r="A101" s="94" t="s">
        <v>422</v>
      </c>
      <c r="B101" s="94" t="s">
        <v>103</v>
      </c>
      <c r="C101" s="94" t="s">
        <v>423</v>
      </c>
      <c r="D101" s="199" t="s">
        <v>424</v>
      </c>
      <c r="E101" s="199"/>
      <c r="F101" s="94" t="s">
        <v>323</v>
      </c>
      <c r="G101" s="96">
        <f>'Stavební rozpočet'!G101</f>
        <v>2.5539999999999998</v>
      </c>
      <c r="H101" s="97">
        <f>'Stavební rozpočet'!H101</f>
        <v>0</v>
      </c>
      <c r="I101" s="98">
        <v>21</v>
      </c>
      <c r="J101" s="97">
        <f t="shared" si="82"/>
        <v>0</v>
      </c>
      <c r="K101" s="97">
        <f t="shared" si="83"/>
        <v>0</v>
      </c>
      <c r="L101" s="97">
        <f t="shared" si="84"/>
        <v>0</v>
      </c>
      <c r="M101" s="97">
        <f t="shared" si="85"/>
        <v>0</v>
      </c>
      <c r="N101" s="97">
        <f>'Stavební rozpočet'!N101</f>
        <v>0</v>
      </c>
      <c r="O101" s="97">
        <f t="shared" si="86"/>
        <v>0</v>
      </c>
      <c r="P101" s="99" t="s">
        <v>156</v>
      </c>
      <c r="Z101" s="55">
        <f t="shared" si="87"/>
        <v>0</v>
      </c>
      <c r="AB101" s="55">
        <f t="shared" si="88"/>
        <v>0</v>
      </c>
      <c r="AC101" s="55">
        <f t="shared" si="89"/>
        <v>0</v>
      </c>
      <c r="AD101" s="55">
        <f t="shared" si="90"/>
        <v>0</v>
      </c>
      <c r="AE101" s="55">
        <f t="shared" si="91"/>
        <v>0</v>
      </c>
      <c r="AF101" s="55">
        <f t="shared" si="92"/>
        <v>0</v>
      </c>
      <c r="AG101" s="55">
        <f t="shared" si="93"/>
        <v>0</v>
      </c>
      <c r="AH101" s="55">
        <f t="shared" si="94"/>
        <v>0</v>
      </c>
      <c r="AI101" s="75" t="s">
        <v>103</v>
      </c>
      <c r="AJ101" s="55">
        <f t="shared" si="95"/>
        <v>0</v>
      </c>
      <c r="AK101" s="55">
        <f t="shared" si="96"/>
        <v>0</v>
      </c>
      <c r="AL101" s="55">
        <f t="shared" si="97"/>
        <v>0</v>
      </c>
      <c r="AN101" s="55">
        <v>21</v>
      </c>
      <c r="AO101" s="55">
        <f t="shared" si="98"/>
        <v>0</v>
      </c>
      <c r="AP101" s="55">
        <f t="shared" si="99"/>
        <v>0</v>
      </c>
      <c r="AQ101" s="54" t="s">
        <v>179</v>
      </c>
      <c r="AV101" s="55">
        <f t="shared" si="100"/>
        <v>0</v>
      </c>
      <c r="AW101" s="55">
        <f t="shared" si="101"/>
        <v>0</v>
      </c>
      <c r="AX101" s="55">
        <f t="shared" si="102"/>
        <v>0</v>
      </c>
      <c r="AY101" s="54" t="s">
        <v>403</v>
      </c>
      <c r="AZ101" s="54" t="s">
        <v>289</v>
      </c>
      <c r="BA101" s="75" t="s">
        <v>160</v>
      </c>
      <c r="BC101" s="55">
        <f t="shared" si="103"/>
        <v>0</v>
      </c>
      <c r="BD101" s="55">
        <f t="shared" si="104"/>
        <v>0</v>
      </c>
      <c r="BE101" s="55">
        <v>0</v>
      </c>
      <c r="BF101" s="55">
        <f t="shared" si="105"/>
        <v>0</v>
      </c>
      <c r="BH101" s="55">
        <f t="shared" si="106"/>
        <v>0</v>
      </c>
      <c r="BI101" s="55">
        <f t="shared" si="107"/>
        <v>0</v>
      </c>
      <c r="BJ101" s="55">
        <f t="shared" si="108"/>
        <v>0</v>
      </c>
      <c r="BK101" s="54" t="s">
        <v>161</v>
      </c>
      <c r="BL101" s="55"/>
      <c r="BW101" s="55">
        <f t="shared" si="109"/>
        <v>21</v>
      </c>
      <c r="BX101" s="16" t="s">
        <v>424</v>
      </c>
    </row>
    <row r="102" spans="1:76" ht="24" customHeight="1" x14ac:dyDescent="0.3">
      <c r="A102" s="94" t="s">
        <v>425</v>
      </c>
      <c r="B102" s="94" t="s">
        <v>103</v>
      </c>
      <c r="C102" s="94" t="s">
        <v>426</v>
      </c>
      <c r="D102" s="199" t="s">
        <v>427</v>
      </c>
      <c r="E102" s="199"/>
      <c r="F102" s="94" t="s">
        <v>323</v>
      </c>
      <c r="G102" s="96">
        <f>'Stavební rozpočet'!G102</f>
        <v>2.0249999999999999</v>
      </c>
      <c r="H102" s="97">
        <f>'Stavební rozpočet'!H102</f>
        <v>0</v>
      </c>
      <c r="I102" s="98">
        <v>21</v>
      </c>
      <c r="J102" s="97">
        <f t="shared" si="82"/>
        <v>0</v>
      </c>
      <c r="K102" s="97">
        <f t="shared" si="83"/>
        <v>0</v>
      </c>
      <c r="L102" s="97">
        <f t="shared" si="84"/>
        <v>0</v>
      </c>
      <c r="M102" s="97">
        <f t="shared" si="85"/>
        <v>0</v>
      </c>
      <c r="N102" s="97">
        <f>'Stavební rozpočet'!N102</f>
        <v>0</v>
      </c>
      <c r="O102" s="97">
        <f t="shared" si="86"/>
        <v>0</v>
      </c>
      <c r="P102" s="99" t="s">
        <v>156</v>
      </c>
      <c r="Z102" s="55">
        <f t="shared" si="87"/>
        <v>0</v>
      </c>
      <c r="AB102" s="55">
        <f t="shared" si="88"/>
        <v>0</v>
      </c>
      <c r="AC102" s="55">
        <f t="shared" si="89"/>
        <v>0</v>
      </c>
      <c r="AD102" s="55">
        <f t="shared" si="90"/>
        <v>0</v>
      </c>
      <c r="AE102" s="55">
        <f t="shared" si="91"/>
        <v>0</v>
      </c>
      <c r="AF102" s="55">
        <f t="shared" si="92"/>
        <v>0</v>
      </c>
      <c r="AG102" s="55">
        <f t="shared" si="93"/>
        <v>0</v>
      </c>
      <c r="AH102" s="55">
        <f t="shared" si="94"/>
        <v>0</v>
      </c>
      <c r="AI102" s="75" t="s">
        <v>103</v>
      </c>
      <c r="AJ102" s="55">
        <f t="shared" si="95"/>
        <v>0</v>
      </c>
      <c r="AK102" s="55">
        <f t="shared" si="96"/>
        <v>0</v>
      </c>
      <c r="AL102" s="55">
        <f t="shared" si="97"/>
        <v>0</v>
      </c>
      <c r="AN102" s="55">
        <v>21</v>
      </c>
      <c r="AO102" s="55">
        <f t="shared" si="98"/>
        <v>0</v>
      </c>
      <c r="AP102" s="55">
        <f t="shared" si="99"/>
        <v>0</v>
      </c>
      <c r="AQ102" s="54" t="s">
        <v>179</v>
      </c>
      <c r="AV102" s="55">
        <f t="shared" si="100"/>
        <v>0</v>
      </c>
      <c r="AW102" s="55">
        <f t="shared" si="101"/>
        <v>0</v>
      </c>
      <c r="AX102" s="55">
        <f t="shared" si="102"/>
        <v>0</v>
      </c>
      <c r="AY102" s="54" t="s">
        <v>403</v>
      </c>
      <c r="AZ102" s="54" t="s">
        <v>289</v>
      </c>
      <c r="BA102" s="75" t="s">
        <v>160</v>
      </c>
      <c r="BC102" s="55">
        <f t="shared" si="103"/>
        <v>0</v>
      </c>
      <c r="BD102" s="55">
        <f t="shared" si="104"/>
        <v>0</v>
      </c>
      <c r="BE102" s="55">
        <v>0</v>
      </c>
      <c r="BF102" s="55">
        <f t="shared" si="105"/>
        <v>0</v>
      </c>
      <c r="BH102" s="55">
        <f t="shared" si="106"/>
        <v>0</v>
      </c>
      <c r="BI102" s="55">
        <f t="shared" si="107"/>
        <v>0</v>
      </c>
      <c r="BJ102" s="55">
        <f t="shared" si="108"/>
        <v>0</v>
      </c>
      <c r="BK102" s="54" t="s">
        <v>161</v>
      </c>
      <c r="BL102" s="55"/>
      <c r="BW102" s="55">
        <f t="shared" si="109"/>
        <v>21</v>
      </c>
      <c r="BX102" s="16" t="s">
        <v>427</v>
      </c>
    </row>
    <row r="103" spans="1:76" ht="24" customHeight="1" x14ac:dyDescent="0.3">
      <c r="A103" s="94" t="s">
        <v>428</v>
      </c>
      <c r="B103" s="94" t="s">
        <v>103</v>
      </c>
      <c r="C103" s="94" t="s">
        <v>429</v>
      </c>
      <c r="D103" s="199" t="s">
        <v>430</v>
      </c>
      <c r="E103" s="199"/>
      <c r="F103" s="94" t="s">
        <v>323</v>
      </c>
      <c r="G103" s="96">
        <f>'Stavební rozpočet'!G103</f>
        <v>3.8879999999999999</v>
      </c>
      <c r="H103" s="97">
        <f>'Stavební rozpočet'!H103</f>
        <v>0</v>
      </c>
      <c r="I103" s="98">
        <v>21</v>
      </c>
      <c r="J103" s="97">
        <f t="shared" si="82"/>
        <v>0</v>
      </c>
      <c r="K103" s="97">
        <f t="shared" si="83"/>
        <v>0</v>
      </c>
      <c r="L103" s="97">
        <f t="shared" si="84"/>
        <v>0</v>
      </c>
      <c r="M103" s="97">
        <f t="shared" si="85"/>
        <v>0</v>
      </c>
      <c r="N103" s="97">
        <f>'Stavební rozpočet'!N103</f>
        <v>0</v>
      </c>
      <c r="O103" s="97">
        <f t="shared" si="86"/>
        <v>0</v>
      </c>
      <c r="P103" s="99" t="s">
        <v>156</v>
      </c>
      <c r="Z103" s="55">
        <f t="shared" si="87"/>
        <v>0</v>
      </c>
      <c r="AB103" s="55">
        <f t="shared" si="88"/>
        <v>0</v>
      </c>
      <c r="AC103" s="55">
        <f t="shared" si="89"/>
        <v>0</v>
      </c>
      <c r="AD103" s="55">
        <f t="shared" si="90"/>
        <v>0</v>
      </c>
      <c r="AE103" s="55">
        <f t="shared" si="91"/>
        <v>0</v>
      </c>
      <c r="AF103" s="55">
        <f t="shared" si="92"/>
        <v>0</v>
      </c>
      <c r="AG103" s="55">
        <f t="shared" si="93"/>
        <v>0</v>
      </c>
      <c r="AH103" s="55">
        <f t="shared" si="94"/>
        <v>0</v>
      </c>
      <c r="AI103" s="75" t="s">
        <v>103</v>
      </c>
      <c r="AJ103" s="55">
        <f t="shared" si="95"/>
        <v>0</v>
      </c>
      <c r="AK103" s="55">
        <f t="shared" si="96"/>
        <v>0</v>
      </c>
      <c r="AL103" s="55">
        <f t="shared" si="97"/>
        <v>0</v>
      </c>
      <c r="AN103" s="55">
        <v>21</v>
      </c>
      <c r="AO103" s="55">
        <f t="shared" si="98"/>
        <v>0</v>
      </c>
      <c r="AP103" s="55">
        <f t="shared" si="99"/>
        <v>0</v>
      </c>
      <c r="AQ103" s="54" t="s">
        <v>179</v>
      </c>
      <c r="AV103" s="55">
        <f t="shared" si="100"/>
        <v>0</v>
      </c>
      <c r="AW103" s="55">
        <f t="shared" si="101"/>
        <v>0</v>
      </c>
      <c r="AX103" s="55">
        <f t="shared" si="102"/>
        <v>0</v>
      </c>
      <c r="AY103" s="54" t="s">
        <v>403</v>
      </c>
      <c r="AZ103" s="54" t="s">
        <v>289</v>
      </c>
      <c r="BA103" s="75" t="s">
        <v>160</v>
      </c>
      <c r="BC103" s="55">
        <f t="shared" si="103"/>
        <v>0</v>
      </c>
      <c r="BD103" s="55">
        <f t="shared" si="104"/>
        <v>0</v>
      </c>
      <c r="BE103" s="55">
        <v>0</v>
      </c>
      <c r="BF103" s="55">
        <f t="shared" si="105"/>
        <v>0</v>
      </c>
      <c r="BH103" s="55">
        <f t="shared" si="106"/>
        <v>0</v>
      </c>
      <c r="BI103" s="55">
        <f t="shared" si="107"/>
        <v>0</v>
      </c>
      <c r="BJ103" s="55">
        <f t="shared" si="108"/>
        <v>0</v>
      </c>
      <c r="BK103" s="54" t="s">
        <v>161</v>
      </c>
      <c r="BL103" s="55"/>
      <c r="BW103" s="55">
        <f t="shared" si="109"/>
        <v>21</v>
      </c>
      <c r="BX103" s="16" t="s">
        <v>430</v>
      </c>
    </row>
    <row r="104" spans="1:76" ht="24" customHeight="1" x14ac:dyDescent="0.3">
      <c r="A104" s="94" t="s">
        <v>431</v>
      </c>
      <c r="B104" s="94" t="s">
        <v>103</v>
      </c>
      <c r="C104" s="94" t="s">
        <v>432</v>
      </c>
      <c r="D104" s="199" t="s">
        <v>433</v>
      </c>
      <c r="E104" s="199"/>
      <c r="F104" s="94" t="s">
        <v>323</v>
      </c>
      <c r="G104" s="96">
        <f>'Stavební rozpočet'!G104</f>
        <v>605.73099999999999</v>
      </c>
      <c r="H104" s="97">
        <f>'Stavební rozpočet'!H104</f>
        <v>0</v>
      </c>
      <c r="I104" s="98">
        <v>21</v>
      </c>
      <c r="J104" s="97">
        <f t="shared" si="82"/>
        <v>0</v>
      </c>
      <c r="K104" s="97">
        <f t="shared" si="83"/>
        <v>0</v>
      </c>
      <c r="L104" s="97">
        <f t="shared" si="84"/>
        <v>0</v>
      </c>
      <c r="M104" s="97">
        <f t="shared" si="85"/>
        <v>0</v>
      </c>
      <c r="N104" s="97">
        <f>'Stavební rozpočet'!N104</f>
        <v>0</v>
      </c>
      <c r="O104" s="97">
        <f t="shared" si="86"/>
        <v>0</v>
      </c>
      <c r="P104" s="99" t="s">
        <v>156</v>
      </c>
      <c r="Z104" s="55">
        <f t="shared" si="87"/>
        <v>0</v>
      </c>
      <c r="AB104" s="55">
        <f t="shared" si="88"/>
        <v>0</v>
      </c>
      <c r="AC104" s="55">
        <f t="shared" si="89"/>
        <v>0</v>
      </c>
      <c r="AD104" s="55">
        <f t="shared" si="90"/>
        <v>0</v>
      </c>
      <c r="AE104" s="55">
        <f t="shared" si="91"/>
        <v>0</v>
      </c>
      <c r="AF104" s="55">
        <f t="shared" si="92"/>
        <v>0</v>
      </c>
      <c r="AG104" s="55">
        <f t="shared" si="93"/>
        <v>0</v>
      </c>
      <c r="AH104" s="55">
        <f t="shared" si="94"/>
        <v>0</v>
      </c>
      <c r="AI104" s="75" t="s">
        <v>103</v>
      </c>
      <c r="AJ104" s="55">
        <f t="shared" si="95"/>
        <v>0</v>
      </c>
      <c r="AK104" s="55">
        <f t="shared" si="96"/>
        <v>0</v>
      </c>
      <c r="AL104" s="55">
        <f t="shared" si="97"/>
        <v>0</v>
      </c>
      <c r="AN104" s="55">
        <v>21</v>
      </c>
      <c r="AO104" s="55">
        <f t="shared" si="98"/>
        <v>0</v>
      </c>
      <c r="AP104" s="55">
        <f t="shared" si="99"/>
        <v>0</v>
      </c>
      <c r="AQ104" s="54" t="s">
        <v>179</v>
      </c>
      <c r="AV104" s="55">
        <f t="shared" si="100"/>
        <v>0</v>
      </c>
      <c r="AW104" s="55">
        <f t="shared" si="101"/>
        <v>0</v>
      </c>
      <c r="AX104" s="55">
        <f t="shared" si="102"/>
        <v>0</v>
      </c>
      <c r="AY104" s="54" t="s">
        <v>403</v>
      </c>
      <c r="AZ104" s="54" t="s">
        <v>289</v>
      </c>
      <c r="BA104" s="75" t="s">
        <v>160</v>
      </c>
      <c r="BC104" s="55">
        <f t="shared" si="103"/>
        <v>0</v>
      </c>
      <c r="BD104" s="55">
        <f t="shared" si="104"/>
        <v>0</v>
      </c>
      <c r="BE104" s="55">
        <v>0</v>
      </c>
      <c r="BF104" s="55">
        <f t="shared" si="105"/>
        <v>0</v>
      </c>
      <c r="BH104" s="55">
        <f t="shared" si="106"/>
        <v>0</v>
      </c>
      <c r="BI104" s="55">
        <f t="shared" si="107"/>
        <v>0</v>
      </c>
      <c r="BJ104" s="55">
        <f t="shared" si="108"/>
        <v>0</v>
      </c>
      <c r="BK104" s="54" t="s">
        <v>161</v>
      </c>
      <c r="BL104" s="55"/>
      <c r="BW104" s="55">
        <f t="shared" si="109"/>
        <v>21</v>
      </c>
      <c r="BX104" s="16" t="s">
        <v>433</v>
      </c>
    </row>
    <row r="105" spans="1:76" ht="15" customHeight="1" x14ac:dyDescent="0.3">
      <c r="A105" s="94" t="s">
        <v>434</v>
      </c>
      <c r="B105" s="94" t="s">
        <v>103</v>
      </c>
      <c r="C105" s="94" t="s">
        <v>435</v>
      </c>
      <c r="D105" s="199" t="s">
        <v>436</v>
      </c>
      <c r="E105" s="199"/>
      <c r="F105" s="94" t="s">
        <v>323</v>
      </c>
      <c r="G105" s="96">
        <f>'Stavební rozpočet'!G105</f>
        <v>0.97699999999999998</v>
      </c>
      <c r="H105" s="97">
        <f>'Stavební rozpočet'!H105</f>
        <v>0</v>
      </c>
      <c r="I105" s="98">
        <v>21</v>
      </c>
      <c r="J105" s="97">
        <f t="shared" si="82"/>
        <v>0</v>
      </c>
      <c r="K105" s="97">
        <f t="shared" si="83"/>
        <v>0</v>
      </c>
      <c r="L105" s="97">
        <f t="shared" si="84"/>
        <v>0</v>
      </c>
      <c r="M105" s="97">
        <f t="shared" si="85"/>
        <v>0</v>
      </c>
      <c r="N105" s="97">
        <f>'Stavební rozpočet'!N105</f>
        <v>0</v>
      </c>
      <c r="O105" s="97">
        <f t="shared" si="86"/>
        <v>0</v>
      </c>
      <c r="P105" s="99" t="s">
        <v>156</v>
      </c>
      <c r="Z105" s="55">
        <f t="shared" si="87"/>
        <v>0</v>
      </c>
      <c r="AB105" s="55">
        <f t="shared" si="88"/>
        <v>0</v>
      </c>
      <c r="AC105" s="55">
        <f t="shared" si="89"/>
        <v>0</v>
      </c>
      <c r="AD105" s="55">
        <f t="shared" si="90"/>
        <v>0</v>
      </c>
      <c r="AE105" s="55">
        <f t="shared" si="91"/>
        <v>0</v>
      </c>
      <c r="AF105" s="55">
        <f t="shared" si="92"/>
        <v>0</v>
      </c>
      <c r="AG105" s="55">
        <f t="shared" si="93"/>
        <v>0</v>
      </c>
      <c r="AH105" s="55">
        <f t="shared" si="94"/>
        <v>0</v>
      </c>
      <c r="AI105" s="75" t="s">
        <v>103</v>
      </c>
      <c r="AJ105" s="55">
        <f t="shared" si="95"/>
        <v>0</v>
      </c>
      <c r="AK105" s="55">
        <f t="shared" si="96"/>
        <v>0</v>
      </c>
      <c r="AL105" s="55">
        <f t="shared" si="97"/>
        <v>0</v>
      </c>
      <c r="AN105" s="55">
        <v>21</v>
      </c>
      <c r="AO105" s="55">
        <f t="shared" si="98"/>
        <v>0</v>
      </c>
      <c r="AP105" s="55">
        <f t="shared" si="99"/>
        <v>0</v>
      </c>
      <c r="AQ105" s="54" t="s">
        <v>179</v>
      </c>
      <c r="AV105" s="55">
        <f t="shared" si="100"/>
        <v>0</v>
      </c>
      <c r="AW105" s="55">
        <f t="shared" si="101"/>
        <v>0</v>
      </c>
      <c r="AX105" s="55">
        <f t="shared" si="102"/>
        <v>0</v>
      </c>
      <c r="AY105" s="54" t="s">
        <v>403</v>
      </c>
      <c r="AZ105" s="54" t="s">
        <v>289</v>
      </c>
      <c r="BA105" s="75" t="s">
        <v>160</v>
      </c>
      <c r="BC105" s="55">
        <f t="shared" si="103"/>
        <v>0</v>
      </c>
      <c r="BD105" s="55">
        <f t="shared" si="104"/>
        <v>0</v>
      </c>
      <c r="BE105" s="55">
        <v>0</v>
      </c>
      <c r="BF105" s="55">
        <f t="shared" si="105"/>
        <v>0</v>
      </c>
      <c r="BH105" s="55">
        <f t="shared" si="106"/>
        <v>0</v>
      </c>
      <c r="BI105" s="55">
        <f t="shared" si="107"/>
        <v>0</v>
      </c>
      <c r="BJ105" s="55">
        <f t="shared" si="108"/>
        <v>0</v>
      </c>
      <c r="BK105" s="54" t="s">
        <v>161</v>
      </c>
      <c r="BL105" s="55"/>
      <c r="BW105" s="55">
        <f t="shared" si="109"/>
        <v>21</v>
      </c>
      <c r="BX105" s="16" t="s">
        <v>436</v>
      </c>
    </row>
    <row r="106" spans="1:76" ht="15" customHeight="1" x14ac:dyDescent="0.3">
      <c r="A106" s="94" t="s">
        <v>437</v>
      </c>
      <c r="B106" s="94" t="s">
        <v>103</v>
      </c>
      <c r="C106" s="94" t="s">
        <v>438</v>
      </c>
      <c r="D106" s="199" t="s">
        <v>439</v>
      </c>
      <c r="E106" s="199"/>
      <c r="F106" s="94" t="s">
        <v>323</v>
      </c>
      <c r="G106" s="96">
        <f>'Stavební rozpočet'!G106</f>
        <v>287.60199999999998</v>
      </c>
      <c r="H106" s="97">
        <f>'Stavební rozpočet'!H106</f>
        <v>0</v>
      </c>
      <c r="I106" s="98">
        <v>21</v>
      </c>
      <c r="J106" s="97">
        <f t="shared" si="82"/>
        <v>0</v>
      </c>
      <c r="K106" s="97">
        <f t="shared" si="83"/>
        <v>0</v>
      </c>
      <c r="L106" s="97">
        <f t="shared" si="84"/>
        <v>0</v>
      </c>
      <c r="M106" s="97">
        <f t="shared" si="85"/>
        <v>0</v>
      </c>
      <c r="N106" s="97">
        <f>'Stavební rozpočet'!N106</f>
        <v>0</v>
      </c>
      <c r="O106" s="97">
        <f t="shared" si="86"/>
        <v>0</v>
      </c>
      <c r="P106" s="99" t="s">
        <v>156</v>
      </c>
      <c r="Z106" s="55">
        <f t="shared" si="87"/>
        <v>0</v>
      </c>
      <c r="AB106" s="55">
        <f t="shared" si="88"/>
        <v>0</v>
      </c>
      <c r="AC106" s="55">
        <f t="shared" si="89"/>
        <v>0</v>
      </c>
      <c r="AD106" s="55">
        <f t="shared" si="90"/>
        <v>0</v>
      </c>
      <c r="AE106" s="55">
        <f t="shared" si="91"/>
        <v>0</v>
      </c>
      <c r="AF106" s="55">
        <f t="shared" si="92"/>
        <v>0</v>
      </c>
      <c r="AG106" s="55">
        <f t="shared" si="93"/>
        <v>0</v>
      </c>
      <c r="AH106" s="55">
        <f t="shared" si="94"/>
        <v>0</v>
      </c>
      <c r="AI106" s="75" t="s">
        <v>103</v>
      </c>
      <c r="AJ106" s="55">
        <f t="shared" si="95"/>
        <v>0</v>
      </c>
      <c r="AK106" s="55">
        <f t="shared" si="96"/>
        <v>0</v>
      </c>
      <c r="AL106" s="55">
        <f t="shared" si="97"/>
        <v>0</v>
      </c>
      <c r="AN106" s="55">
        <v>21</v>
      </c>
      <c r="AO106" s="55">
        <f t="shared" si="98"/>
        <v>0</v>
      </c>
      <c r="AP106" s="55">
        <f t="shared" si="99"/>
        <v>0</v>
      </c>
      <c r="AQ106" s="54" t="s">
        <v>179</v>
      </c>
      <c r="AV106" s="55">
        <f t="shared" si="100"/>
        <v>0</v>
      </c>
      <c r="AW106" s="55">
        <f t="shared" si="101"/>
        <v>0</v>
      </c>
      <c r="AX106" s="55">
        <f t="shared" si="102"/>
        <v>0</v>
      </c>
      <c r="AY106" s="54" t="s">
        <v>403</v>
      </c>
      <c r="AZ106" s="54" t="s">
        <v>289</v>
      </c>
      <c r="BA106" s="75" t="s">
        <v>160</v>
      </c>
      <c r="BC106" s="55">
        <f t="shared" si="103"/>
        <v>0</v>
      </c>
      <c r="BD106" s="55">
        <f t="shared" si="104"/>
        <v>0</v>
      </c>
      <c r="BE106" s="55">
        <v>0</v>
      </c>
      <c r="BF106" s="55">
        <f t="shared" si="105"/>
        <v>0</v>
      </c>
      <c r="BH106" s="55">
        <f t="shared" si="106"/>
        <v>0</v>
      </c>
      <c r="BI106" s="55">
        <f t="shared" si="107"/>
        <v>0</v>
      </c>
      <c r="BJ106" s="55">
        <f t="shared" si="108"/>
        <v>0</v>
      </c>
      <c r="BK106" s="54" t="s">
        <v>161</v>
      </c>
      <c r="BL106" s="55"/>
      <c r="BW106" s="55">
        <f t="shared" si="109"/>
        <v>21</v>
      </c>
      <c r="BX106" s="16" t="s">
        <v>439</v>
      </c>
    </row>
    <row r="107" spans="1:76" ht="15" customHeight="1" x14ac:dyDescent="0.3">
      <c r="A107" s="94" t="s">
        <v>440</v>
      </c>
      <c r="B107" s="94" t="s">
        <v>103</v>
      </c>
      <c r="C107" s="94" t="s">
        <v>441</v>
      </c>
      <c r="D107" s="199" t="s">
        <v>442</v>
      </c>
      <c r="E107" s="199"/>
      <c r="F107" s="94" t="s">
        <v>323</v>
      </c>
      <c r="G107" s="96">
        <f>'Stavební rozpočet'!G107</f>
        <v>287.60199999999998</v>
      </c>
      <c r="H107" s="97">
        <f>'Stavební rozpočet'!H107</f>
        <v>0</v>
      </c>
      <c r="I107" s="98">
        <v>21</v>
      </c>
      <c r="J107" s="97">
        <f t="shared" si="82"/>
        <v>0</v>
      </c>
      <c r="K107" s="97">
        <f t="shared" si="83"/>
        <v>0</v>
      </c>
      <c r="L107" s="97">
        <f t="shared" si="84"/>
        <v>0</v>
      </c>
      <c r="M107" s="97">
        <f t="shared" si="85"/>
        <v>0</v>
      </c>
      <c r="N107" s="97">
        <f>'Stavební rozpočet'!N107</f>
        <v>0</v>
      </c>
      <c r="O107" s="97">
        <f t="shared" si="86"/>
        <v>0</v>
      </c>
      <c r="P107" s="99" t="s">
        <v>156</v>
      </c>
      <c r="Z107" s="55">
        <f t="shared" si="87"/>
        <v>0</v>
      </c>
      <c r="AB107" s="55">
        <f t="shared" si="88"/>
        <v>0</v>
      </c>
      <c r="AC107" s="55">
        <f t="shared" si="89"/>
        <v>0</v>
      </c>
      <c r="AD107" s="55">
        <f t="shared" si="90"/>
        <v>0</v>
      </c>
      <c r="AE107" s="55">
        <f t="shared" si="91"/>
        <v>0</v>
      </c>
      <c r="AF107" s="55">
        <f t="shared" si="92"/>
        <v>0</v>
      </c>
      <c r="AG107" s="55">
        <f t="shared" si="93"/>
        <v>0</v>
      </c>
      <c r="AH107" s="55">
        <f t="shared" si="94"/>
        <v>0</v>
      </c>
      <c r="AI107" s="75" t="s">
        <v>103</v>
      </c>
      <c r="AJ107" s="55">
        <f t="shared" si="95"/>
        <v>0</v>
      </c>
      <c r="AK107" s="55">
        <f t="shared" si="96"/>
        <v>0</v>
      </c>
      <c r="AL107" s="55">
        <f t="shared" si="97"/>
        <v>0</v>
      </c>
      <c r="AN107" s="55">
        <v>21</v>
      </c>
      <c r="AO107" s="55">
        <f t="shared" si="98"/>
        <v>0</v>
      </c>
      <c r="AP107" s="55">
        <f t="shared" si="99"/>
        <v>0</v>
      </c>
      <c r="AQ107" s="54" t="s">
        <v>179</v>
      </c>
      <c r="AV107" s="55">
        <f t="shared" si="100"/>
        <v>0</v>
      </c>
      <c r="AW107" s="55">
        <f t="shared" si="101"/>
        <v>0</v>
      </c>
      <c r="AX107" s="55">
        <f t="shared" si="102"/>
        <v>0</v>
      </c>
      <c r="AY107" s="54" t="s">
        <v>403</v>
      </c>
      <c r="AZ107" s="54" t="s">
        <v>289</v>
      </c>
      <c r="BA107" s="75" t="s">
        <v>160</v>
      </c>
      <c r="BC107" s="55">
        <f t="shared" si="103"/>
        <v>0</v>
      </c>
      <c r="BD107" s="55">
        <f t="shared" si="104"/>
        <v>0</v>
      </c>
      <c r="BE107" s="55">
        <v>0</v>
      </c>
      <c r="BF107" s="55">
        <f t="shared" si="105"/>
        <v>0</v>
      </c>
      <c r="BH107" s="55">
        <f t="shared" si="106"/>
        <v>0</v>
      </c>
      <c r="BI107" s="55">
        <f t="shared" si="107"/>
        <v>0</v>
      </c>
      <c r="BJ107" s="55">
        <f t="shared" si="108"/>
        <v>0</v>
      </c>
      <c r="BK107" s="54" t="s">
        <v>161</v>
      </c>
      <c r="BL107" s="55"/>
      <c r="BW107" s="55">
        <f t="shared" si="109"/>
        <v>21</v>
      </c>
      <c r="BX107" s="16" t="s">
        <v>442</v>
      </c>
    </row>
    <row r="108" spans="1:76" ht="15" customHeight="1" x14ac:dyDescent="0.3">
      <c r="A108" s="94" t="s">
        <v>443</v>
      </c>
      <c r="B108" s="94" t="s">
        <v>103</v>
      </c>
      <c r="C108" s="94" t="s">
        <v>444</v>
      </c>
      <c r="D108" s="199" t="s">
        <v>445</v>
      </c>
      <c r="E108" s="199"/>
      <c r="F108" s="94" t="s">
        <v>323</v>
      </c>
      <c r="G108" s="96">
        <f>'Stavební rozpočet'!G108</f>
        <v>47.296999999999997</v>
      </c>
      <c r="H108" s="97">
        <f>'Stavební rozpočet'!H108</f>
        <v>0</v>
      </c>
      <c r="I108" s="98">
        <v>21</v>
      </c>
      <c r="J108" s="97">
        <f t="shared" si="82"/>
        <v>0</v>
      </c>
      <c r="K108" s="97">
        <f t="shared" si="83"/>
        <v>0</v>
      </c>
      <c r="L108" s="97">
        <f t="shared" si="84"/>
        <v>0</v>
      </c>
      <c r="M108" s="97">
        <f t="shared" si="85"/>
        <v>0</v>
      </c>
      <c r="N108" s="97">
        <f>'Stavební rozpočet'!N108</f>
        <v>0</v>
      </c>
      <c r="O108" s="97">
        <f t="shared" si="86"/>
        <v>0</v>
      </c>
      <c r="P108" s="99" t="s">
        <v>156</v>
      </c>
      <c r="Z108" s="55">
        <f t="shared" si="87"/>
        <v>0</v>
      </c>
      <c r="AB108" s="55">
        <f t="shared" si="88"/>
        <v>0</v>
      </c>
      <c r="AC108" s="55">
        <f t="shared" si="89"/>
        <v>0</v>
      </c>
      <c r="AD108" s="55">
        <f t="shared" si="90"/>
        <v>0</v>
      </c>
      <c r="AE108" s="55">
        <f t="shared" si="91"/>
        <v>0</v>
      </c>
      <c r="AF108" s="55">
        <f t="shared" si="92"/>
        <v>0</v>
      </c>
      <c r="AG108" s="55">
        <f t="shared" si="93"/>
        <v>0</v>
      </c>
      <c r="AH108" s="55">
        <f t="shared" si="94"/>
        <v>0</v>
      </c>
      <c r="AI108" s="75" t="s">
        <v>103</v>
      </c>
      <c r="AJ108" s="55">
        <f t="shared" si="95"/>
        <v>0</v>
      </c>
      <c r="AK108" s="55">
        <f t="shared" si="96"/>
        <v>0</v>
      </c>
      <c r="AL108" s="55">
        <f t="shared" si="97"/>
        <v>0</v>
      </c>
      <c r="AN108" s="55">
        <v>21</v>
      </c>
      <c r="AO108" s="55">
        <f t="shared" si="98"/>
        <v>0</v>
      </c>
      <c r="AP108" s="55">
        <f t="shared" si="99"/>
        <v>0</v>
      </c>
      <c r="AQ108" s="54" t="s">
        <v>179</v>
      </c>
      <c r="AV108" s="55">
        <f t="shared" si="100"/>
        <v>0</v>
      </c>
      <c r="AW108" s="55">
        <f t="shared" si="101"/>
        <v>0</v>
      </c>
      <c r="AX108" s="55">
        <f t="shared" si="102"/>
        <v>0</v>
      </c>
      <c r="AY108" s="54" t="s">
        <v>403</v>
      </c>
      <c r="AZ108" s="54" t="s">
        <v>289</v>
      </c>
      <c r="BA108" s="75" t="s">
        <v>160</v>
      </c>
      <c r="BC108" s="55">
        <f t="shared" si="103"/>
        <v>0</v>
      </c>
      <c r="BD108" s="55">
        <f t="shared" si="104"/>
        <v>0</v>
      </c>
      <c r="BE108" s="55">
        <v>0</v>
      </c>
      <c r="BF108" s="55">
        <f t="shared" si="105"/>
        <v>0</v>
      </c>
      <c r="BH108" s="55">
        <f t="shared" si="106"/>
        <v>0</v>
      </c>
      <c r="BI108" s="55">
        <f t="shared" si="107"/>
        <v>0</v>
      </c>
      <c r="BJ108" s="55">
        <f t="shared" si="108"/>
        <v>0</v>
      </c>
      <c r="BK108" s="54" t="s">
        <v>161</v>
      </c>
      <c r="BL108" s="55"/>
      <c r="BW108" s="55">
        <f t="shared" si="109"/>
        <v>21</v>
      </c>
      <c r="BX108" s="16" t="s">
        <v>445</v>
      </c>
    </row>
    <row r="109" spans="1:76" ht="15" customHeight="1" x14ac:dyDescent="0.3">
      <c r="A109" s="94" t="s">
        <v>446</v>
      </c>
      <c r="B109" s="94" t="s">
        <v>103</v>
      </c>
      <c r="C109" s="94" t="s">
        <v>447</v>
      </c>
      <c r="D109" s="199" t="s">
        <v>448</v>
      </c>
      <c r="E109" s="199"/>
      <c r="F109" s="94" t="s">
        <v>323</v>
      </c>
      <c r="G109" s="96">
        <f>'Stavební rozpočet'!G109</f>
        <v>94.593999999999994</v>
      </c>
      <c r="H109" s="97">
        <f>'Stavební rozpočet'!H109</f>
        <v>0</v>
      </c>
      <c r="I109" s="98">
        <v>21</v>
      </c>
      <c r="J109" s="97">
        <f t="shared" si="82"/>
        <v>0</v>
      </c>
      <c r="K109" s="97">
        <f t="shared" si="83"/>
        <v>0</v>
      </c>
      <c r="L109" s="97">
        <f t="shared" si="84"/>
        <v>0</v>
      </c>
      <c r="M109" s="97">
        <f t="shared" si="85"/>
        <v>0</v>
      </c>
      <c r="N109" s="97">
        <f>'Stavební rozpočet'!N109</f>
        <v>0</v>
      </c>
      <c r="O109" s="97">
        <f t="shared" si="86"/>
        <v>0</v>
      </c>
      <c r="P109" s="99" t="s">
        <v>156</v>
      </c>
      <c r="Z109" s="55">
        <f t="shared" si="87"/>
        <v>0</v>
      </c>
      <c r="AB109" s="55">
        <f t="shared" si="88"/>
        <v>0</v>
      </c>
      <c r="AC109" s="55">
        <f t="shared" si="89"/>
        <v>0</v>
      </c>
      <c r="AD109" s="55">
        <f t="shared" si="90"/>
        <v>0</v>
      </c>
      <c r="AE109" s="55">
        <f t="shared" si="91"/>
        <v>0</v>
      </c>
      <c r="AF109" s="55">
        <f t="shared" si="92"/>
        <v>0</v>
      </c>
      <c r="AG109" s="55">
        <f t="shared" si="93"/>
        <v>0</v>
      </c>
      <c r="AH109" s="55">
        <f t="shared" si="94"/>
        <v>0</v>
      </c>
      <c r="AI109" s="75" t="s">
        <v>103</v>
      </c>
      <c r="AJ109" s="55">
        <f t="shared" si="95"/>
        <v>0</v>
      </c>
      <c r="AK109" s="55">
        <f t="shared" si="96"/>
        <v>0</v>
      </c>
      <c r="AL109" s="55">
        <f t="shared" si="97"/>
        <v>0</v>
      </c>
      <c r="AN109" s="55">
        <v>21</v>
      </c>
      <c r="AO109" s="55">
        <f t="shared" si="98"/>
        <v>0</v>
      </c>
      <c r="AP109" s="55">
        <f t="shared" si="99"/>
        <v>0</v>
      </c>
      <c r="AQ109" s="54" t="s">
        <v>179</v>
      </c>
      <c r="AV109" s="55">
        <f t="shared" si="100"/>
        <v>0</v>
      </c>
      <c r="AW109" s="55">
        <f t="shared" si="101"/>
        <v>0</v>
      </c>
      <c r="AX109" s="55">
        <f t="shared" si="102"/>
        <v>0</v>
      </c>
      <c r="AY109" s="54" t="s">
        <v>403</v>
      </c>
      <c r="AZ109" s="54" t="s">
        <v>289</v>
      </c>
      <c r="BA109" s="75" t="s">
        <v>160</v>
      </c>
      <c r="BC109" s="55">
        <f t="shared" si="103"/>
        <v>0</v>
      </c>
      <c r="BD109" s="55">
        <f t="shared" si="104"/>
        <v>0</v>
      </c>
      <c r="BE109" s="55">
        <v>0</v>
      </c>
      <c r="BF109" s="55">
        <f t="shared" si="105"/>
        <v>0</v>
      </c>
      <c r="BH109" s="55">
        <f t="shared" si="106"/>
        <v>0</v>
      </c>
      <c r="BI109" s="55">
        <f t="shared" si="107"/>
        <v>0</v>
      </c>
      <c r="BJ109" s="55">
        <f t="shared" si="108"/>
        <v>0</v>
      </c>
      <c r="BK109" s="54" t="s">
        <v>161</v>
      </c>
      <c r="BL109" s="55"/>
      <c r="BW109" s="55">
        <f t="shared" si="109"/>
        <v>21</v>
      </c>
      <c r="BX109" s="16" t="s">
        <v>448</v>
      </c>
    </row>
    <row r="110" spans="1:76" ht="15" customHeight="1" x14ac:dyDescent="0.3">
      <c r="A110" s="94" t="s">
        <v>449</v>
      </c>
      <c r="B110" s="94" t="s">
        <v>103</v>
      </c>
      <c r="C110" s="94" t="s">
        <v>450</v>
      </c>
      <c r="D110" s="199" t="s">
        <v>451</v>
      </c>
      <c r="E110" s="199"/>
      <c r="F110" s="94" t="s">
        <v>323</v>
      </c>
      <c r="G110" s="96">
        <f>'Stavební rozpočet'!G110</f>
        <v>47.296999999999997</v>
      </c>
      <c r="H110" s="97">
        <f>'Stavební rozpočet'!H110</f>
        <v>0</v>
      </c>
      <c r="I110" s="98">
        <v>21</v>
      </c>
      <c r="J110" s="97">
        <f t="shared" si="82"/>
        <v>0</v>
      </c>
      <c r="K110" s="97">
        <f t="shared" si="83"/>
        <v>0</v>
      </c>
      <c r="L110" s="97">
        <f t="shared" si="84"/>
        <v>0</v>
      </c>
      <c r="M110" s="97">
        <f t="shared" si="85"/>
        <v>0</v>
      </c>
      <c r="N110" s="97">
        <f>'Stavební rozpočet'!N110</f>
        <v>0</v>
      </c>
      <c r="O110" s="97">
        <f t="shared" si="86"/>
        <v>0</v>
      </c>
      <c r="P110" s="99" t="s">
        <v>156</v>
      </c>
      <c r="Z110" s="55">
        <f t="shared" si="87"/>
        <v>0</v>
      </c>
      <c r="AB110" s="55">
        <f t="shared" si="88"/>
        <v>0</v>
      </c>
      <c r="AC110" s="55">
        <f t="shared" si="89"/>
        <v>0</v>
      </c>
      <c r="AD110" s="55">
        <f t="shared" si="90"/>
        <v>0</v>
      </c>
      <c r="AE110" s="55">
        <f t="shared" si="91"/>
        <v>0</v>
      </c>
      <c r="AF110" s="55">
        <f t="shared" si="92"/>
        <v>0</v>
      </c>
      <c r="AG110" s="55">
        <f t="shared" si="93"/>
        <v>0</v>
      </c>
      <c r="AH110" s="55">
        <f t="shared" si="94"/>
        <v>0</v>
      </c>
      <c r="AI110" s="75" t="s">
        <v>103</v>
      </c>
      <c r="AJ110" s="55">
        <f t="shared" si="95"/>
        <v>0</v>
      </c>
      <c r="AK110" s="55">
        <f t="shared" si="96"/>
        <v>0</v>
      </c>
      <c r="AL110" s="55">
        <f t="shared" si="97"/>
        <v>0</v>
      </c>
      <c r="AN110" s="55">
        <v>21</v>
      </c>
      <c r="AO110" s="55">
        <f t="shared" si="98"/>
        <v>0</v>
      </c>
      <c r="AP110" s="55">
        <f t="shared" si="99"/>
        <v>0</v>
      </c>
      <c r="AQ110" s="54" t="s">
        <v>179</v>
      </c>
      <c r="AV110" s="55">
        <f t="shared" si="100"/>
        <v>0</v>
      </c>
      <c r="AW110" s="55">
        <f t="shared" si="101"/>
        <v>0</v>
      </c>
      <c r="AX110" s="55">
        <f t="shared" si="102"/>
        <v>0</v>
      </c>
      <c r="AY110" s="54" t="s">
        <v>403</v>
      </c>
      <c r="AZ110" s="54" t="s">
        <v>289</v>
      </c>
      <c r="BA110" s="75" t="s">
        <v>160</v>
      </c>
      <c r="BC110" s="55">
        <f t="shared" si="103"/>
        <v>0</v>
      </c>
      <c r="BD110" s="55">
        <f t="shared" si="104"/>
        <v>0</v>
      </c>
      <c r="BE110" s="55">
        <v>0</v>
      </c>
      <c r="BF110" s="55">
        <f t="shared" si="105"/>
        <v>0</v>
      </c>
      <c r="BH110" s="55">
        <f t="shared" si="106"/>
        <v>0</v>
      </c>
      <c r="BI110" s="55">
        <f t="shared" si="107"/>
        <v>0</v>
      </c>
      <c r="BJ110" s="55">
        <f t="shared" si="108"/>
        <v>0</v>
      </c>
      <c r="BK110" s="54" t="s">
        <v>161</v>
      </c>
      <c r="BL110" s="55"/>
      <c r="BW110" s="55">
        <f t="shared" si="109"/>
        <v>21</v>
      </c>
      <c r="BX110" s="16" t="s">
        <v>451</v>
      </c>
    </row>
    <row r="111" spans="1:76" ht="15" customHeight="1" x14ac:dyDescent="0.3">
      <c r="A111" s="94" t="s">
        <v>452</v>
      </c>
      <c r="B111" s="94" t="s">
        <v>103</v>
      </c>
      <c r="C111" s="94" t="s">
        <v>453</v>
      </c>
      <c r="D111" s="199" t="s">
        <v>454</v>
      </c>
      <c r="E111" s="199"/>
      <c r="F111" s="94" t="s">
        <v>323</v>
      </c>
      <c r="G111" s="96">
        <f>'Stavební rozpočet'!G111</f>
        <v>862.80700000000002</v>
      </c>
      <c r="H111" s="97">
        <f>'Stavební rozpočet'!H111</f>
        <v>0</v>
      </c>
      <c r="I111" s="98">
        <v>21</v>
      </c>
      <c r="J111" s="97">
        <f t="shared" si="82"/>
        <v>0</v>
      </c>
      <c r="K111" s="97">
        <f t="shared" si="83"/>
        <v>0</v>
      </c>
      <c r="L111" s="97">
        <f t="shared" si="84"/>
        <v>0</v>
      </c>
      <c r="M111" s="97">
        <f t="shared" si="85"/>
        <v>0</v>
      </c>
      <c r="N111" s="97">
        <f>'Stavební rozpočet'!N111</f>
        <v>0</v>
      </c>
      <c r="O111" s="97">
        <f t="shared" si="86"/>
        <v>0</v>
      </c>
      <c r="P111" s="99" t="s">
        <v>156</v>
      </c>
      <c r="Z111" s="55">
        <f t="shared" si="87"/>
        <v>0</v>
      </c>
      <c r="AB111" s="55">
        <f t="shared" si="88"/>
        <v>0</v>
      </c>
      <c r="AC111" s="55">
        <f t="shared" si="89"/>
        <v>0</v>
      </c>
      <c r="AD111" s="55">
        <f t="shared" si="90"/>
        <v>0</v>
      </c>
      <c r="AE111" s="55">
        <f t="shared" si="91"/>
        <v>0</v>
      </c>
      <c r="AF111" s="55">
        <f t="shared" si="92"/>
        <v>0</v>
      </c>
      <c r="AG111" s="55">
        <f t="shared" si="93"/>
        <v>0</v>
      </c>
      <c r="AH111" s="55">
        <f t="shared" si="94"/>
        <v>0</v>
      </c>
      <c r="AI111" s="75" t="s">
        <v>103</v>
      </c>
      <c r="AJ111" s="55">
        <f t="shared" si="95"/>
        <v>0</v>
      </c>
      <c r="AK111" s="55">
        <f t="shared" si="96"/>
        <v>0</v>
      </c>
      <c r="AL111" s="55">
        <f t="shared" si="97"/>
        <v>0</v>
      </c>
      <c r="AN111" s="55">
        <v>21</v>
      </c>
      <c r="AO111" s="55">
        <f t="shared" si="98"/>
        <v>0</v>
      </c>
      <c r="AP111" s="55">
        <f t="shared" si="99"/>
        <v>0</v>
      </c>
      <c r="AQ111" s="54" t="s">
        <v>179</v>
      </c>
      <c r="AV111" s="55">
        <f t="shared" si="100"/>
        <v>0</v>
      </c>
      <c r="AW111" s="55">
        <f t="shared" si="101"/>
        <v>0</v>
      </c>
      <c r="AX111" s="55">
        <f t="shared" si="102"/>
        <v>0</v>
      </c>
      <c r="AY111" s="54" t="s">
        <v>403</v>
      </c>
      <c r="AZ111" s="54" t="s">
        <v>289</v>
      </c>
      <c r="BA111" s="75" t="s">
        <v>160</v>
      </c>
      <c r="BC111" s="55">
        <f t="shared" si="103"/>
        <v>0</v>
      </c>
      <c r="BD111" s="55">
        <f t="shared" si="104"/>
        <v>0</v>
      </c>
      <c r="BE111" s="55">
        <v>0</v>
      </c>
      <c r="BF111" s="55">
        <f t="shared" si="105"/>
        <v>0</v>
      </c>
      <c r="BH111" s="55">
        <f t="shared" si="106"/>
        <v>0</v>
      </c>
      <c r="BI111" s="55">
        <f t="shared" si="107"/>
        <v>0</v>
      </c>
      <c r="BJ111" s="55">
        <f t="shared" si="108"/>
        <v>0</v>
      </c>
      <c r="BK111" s="54" t="s">
        <v>161</v>
      </c>
      <c r="BL111" s="55"/>
      <c r="BW111" s="55">
        <f t="shared" si="109"/>
        <v>21</v>
      </c>
      <c r="BX111" s="16" t="s">
        <v>454</v>
      </c>
    </row>
    <row r="112" spans="1:76" ht="15" customHeight="1" x14ac:dyDescent="0.3">
      <c r="A112" s="94" t="s">
        <v>455</v>
      </c>
      <c r="B112" s="94" t="s">
        <v>103</v>
      </c>
      <c r="C112" s="94" t="s">
        <v>456</v>
      </c>
      <c r="D112" s="199" t="s">
        <v>457</v>
      </c>
      <c r="E112" s="199"/>
      <c r="F112" s="94" t="s">
        <v>323</v>
      </c>
      <c r="G112" s="96">
        <f>'Stavební rozpočet'!G112</f>
        <v>6902.4560000000001</v>
      </c>
      <c r="H112" s="97">
        <f>'Stavební rozpočet'!H112</f>
        <v>0</v>
      </c>
      <c r="I112" s="98">
        <v>21</v>
      </c>
      <c r="J112" s="97">
        <f t="shared" si="82"/>
        <v>0</v>
      </c>
      <c r="K112" s="97">
        <f t="shared" si="83"/>
        <v>0</v>
      </c>
      <c r="L112" s="97">
        <f t="shared" si="84"/>
        <v>0</v>
      </c>
      <c r="M112" s="97">
        <f t="shared" si="85"/>
        <v>0</v>
      </c>
      <c r="N112" s="97">
        <f>'Stavební rozpočet'!N112</f>
        <v>0</v>
      </c>
      <c r="O112" s="97">
        <f t="shared" si="86"/>
        <v>0</v>
      </c>
      <c r="P112" s="99" t="s">
        <v>156</v>
      </c>
      <c r="Z112" s="55">
        <f t="shared" si="87"/>
        <v>0</v>
      </c>
      <c r="AB112" s="55">
        <f t="shared" si="88"/>
        <v>0</v>
      </c>
      <c r="AC112" s="55">
        <f t="shared" si="89"/>
        <v>0</v>
      </c>
      <c r="AD112" s="55">
        <f t="shared" si="90"/>
        <v>0</v>
      </c>
      <c r="AE112" s="55">
        <f t="shared" si="91"/>
        <v>0</v>
      </c>
      <c r="AF112" s="55">
        <f t="shared" si="92"/>
        <v>0</v>
      </c>
      <c r="AG112" s="55">
        <f t="shared" si="93"/>
        <v>0</v>
      </c>
      <c r="AH112" s="55">
        <f t="shared" si="94"/>
        <v>0</v>
      </c>
      <c r="AI112" s="75" t="s">
        <v>103</v>
      </c>
      <c r="AJ112" s="55">
        <f t="shared" si="95"/>
        <v>0</v>
      </c>
      <c r="AK112" s="55">
        <f t="shared" si="96"/>
        <v>0</v>
      </c>
      <c r="AL112" s="55">
        <f t="shared" si="97"/>
        <v>0</v>
      </c>
      <c r="AN112" s="55">
        <v>21</v>
      </c>
      <c r="AO112" s="55">
        <f t="shared" si="98"/>
        <v>0</v>
      </c>
      <c r="AP112" s="55">
        <f t="shared" si="99"/>
        <v>0</v>
      </c>
      <c r="AQ112" s="54" t="s">
        <v>179</v>
      </c>
      <c r="AV112" s="55">
        <f t="shared" si="100"/>
        <v>0</v>
      </c>
      <c r="AW112" s="55">
        <f t="shared" si="101"/>
        <v>0</v>
      </c>
      <c r="AX112" s="55">
        <f t="shared" si="102"/>
        <v>0</v>
      </c>
      <c r="AY112" s="54" t="s">
        <v>403</v>
      </c>
      <c r="AZ112" s="54" t="s">
        <v>289</v>
      </c>
      <c r="BA112" s="75" t="s">
        <v>160</v>
      </c>
      <c r="BC112" s="55">
        <f t="shared" si="103"/>
        <v>0</v>
      </c>
      <c r="BD112" s="55">
        <f t="shared" si="104"/>
        <v>0</v>
      </c>
      <c r="BE112" s="55">
        <v>0</v>
      </c>
      <c r="BF112" s="55">
        <f t="shared" si="105"/>
        <v>0</v>
      </c>
      <c r="BH112" s="55">
        <f t="shared" si="106"/>
        <v>0</v>
      </c>
      <c r="BI112" s="55">
        <f t="shared" si="107"/>
        <v>0</v>
      </c>
      <c r="BJ112" s="55">
        <f t="shared" si="108"/>
        <v>0</v>
      </c>
      <c r="BK112" s="54" t="s">
        <v>161</v>
      </c>
      <c r="BL112" s="55"/>
      <c r="BW112" s="55">
        <f t="shared" si="109"/>
        <v>21</v>
      </c>
      <c r="BX112" s="16" t="s">
        <v>457</v>
      </c>
    </row>
    <row r="113" spans="1:76" ht="15" customHeight="1" x14ac:dyDescent="0.3">
      <c r="A113" s="94" t="s">
        <v>458</v>
      </c>
      <c r="B113" s="94" t="s">
        <v>103</v>
      </c>
      <c r="C113" s="94" t="s">
        <v>459</v>
      </c>
      <c r="D113" s="199" t="s">
        <v>460</v>
      </c>
      <c r="E113" s="199"/>
      <c r="F113" s="94" t="s">
        <v>323</v>
      </c>
      <c r="G113" s="96">
        <f>'Stavební rozpočet'!G113</f>
        <v>0.72599999999999998</v>
      </c>
      <c r="H113" s="97">
        <f>'Stavební rozpočet'!H113</f>
        <v>0</v>
      </c>
      <c r="I113" s="98">
        <v>21</v>
      </c>
      <c r="J113" s="97">
        <f t="shared" si="82"/>
        <v>0</v>
      </c>
      <c r="K113" s="97">
        <f t="shared" si="83"/>
        <v>0</v>
      </c>
      <c r="L113" s="97">
        <f t="shared" si="84"/>
        <v>0</v>
      </c>
      <c r="M113" s="97">
        <f t="shared" si="85"/>
        <v>0</v>
      </c>
      <c r="N113" s="97">
        <f>'Stavební rozpočet'!N113</f>
        <v>0</v>
      </c>
      <c r="O113" s="97">
        <f t="shared" si="86"/>
        <v>0</v>
      </c>
      <c r="P113" s="99" t="s">
        <v>156</v>
      </c>
      <c r="Z113" s="55">
        <f t="shared" si="87"/>
        <v>0</v>
      </c>
      <c r="AB113" s="55">
        <f t="shared" si="88"/>
        <v>0</v>
      </c>
      <c r="AC113" s="55">
        <f t="shared" si="89"/>
        <v>0</v>
      </c>
      <c r="AD113" s="55">
        <f t="shared" si="90"/>
        <v>0</v>
      </c>
      <c r="AE113" s="55">
        <f t="shared" si="91"/>
        <v>0</v>
      </c>
      <c r="AF113" s="55">
        <f t="shared" si="92"/>
        <v>0</v>
      </c>
      <c r="AG113" s="55">
        <f t="shared" si="93"/>
        <v>0</v>
      </c>
      <c r="AH113" s="55">
        <f t="shared" si="94"/>
        <v>0</v>
      </c>
      <c r="AI113" s="75" t="s">
        <v>103</v>
      </c>
      <c r="AJ113" s="55">
        <f t="shared" si="95"/>
        <v>0</v>
      </c>
      <c r="AK113" s="55">
        <f t="shared" si="96"/>
        <v>0</v>
      </c>
      <c r="AL113" s="55">
        <f t="shared" si="97"/>
        <v>0</v>
      </c>
      <c r="AN113" s="55">
        <v>21</v>
      </c>
      <c r="AO113" s="55">
        <f t="shared" si="98"/>
        <v>0</v>
      </c>
      <c r="AP113" s="55">
        <f t="shared" si="99"/>
        <v>0</v>
      </c>
      <c r="AQ113" s="54" t="s">
        <v>179</v>
      </c>
      <c r="AV113" s="55">
        <f t="shared" si="100"/>
        <v>0</v>
      </c>
      <c r="AW113" s="55">
        <f t="shared" si="101"/>
        <v>0</v>
      </c>
      <c r="AX113" s="55">
        <f t="shared" si="102"/>
        <v>0</v>
      </c>
      <c r="AY113" s="54" t="s">
        <v>403</v>
      </c>
      <c r="AZ113" s="54" t="s">
        <v>289</v>
      </c>
      <c r="BA113" s="75" t="s">
        <v>160</v>
      </c>
      <c r="BC113" s="55">
        <f t="shared" si="103"/>
        <v>0</v>
      </c>
      <c r="BD113" s="55">
        <f t="shared" si="104"/>
        <v>0</v>
      </c>
      <c r="BE113" s="55">
        <v>0</v>
      </c>
      <c r="BF113" s="55">
        <f t="shared" si="105"/>
        <v>0</v>
      </c>
      <c r="BH113" s="55">
        <f t="shared" si="106"/>
        <v>0</v>
      </c>
      <c r="BI113" s="55">
        <f t="shared" si="107"/>
        <v>0</v>
      </c>
      <c r="BJ113" s="55">
        <f t="shared" si="108"/>
        <v>0</v>
      </c>
      <c r="BK113" s="54" t="s">
        <v>161</v>
      </c>
      <c r="BL113" s="55"/>
      <c r="BW113" s="55">
        <f t="shared" si="109"/>
        <v>21</v>
      </c>
      <c r="BX113" s="16" t="s">
        <v>460</v>
      </c>
    </row>
    <row r="114" spans="1:76" ht="15" customHeight="1" x14ac:dyDescent="0.3">
      <c r="A114" s="94" t="s">
        <v>461</v>
      </c>
      <c r="B114" s="94" t="s">
        <v>103</v>
      </c>
      <c r="C114" s="94" t="s">
        <v>462</v>
      </c>
      <c r="D114" s="199" t="s">
        <v>463</v>
      </c>
      <c r="E114" s="199"/>
      <c r="F114" s="94" t="s">
        <v>323</v>
      </c>
      <c r="G114" s="96">
        <f>'Stavební rozpočet'!G114</f>
        <v>3.0649999999999999</v>
      </c>
      <c r="H114" s="97">
        <f>'Stavební rozpočet'!H114</f>
        <v>0</v>
      </c>
      <c r="I114" s="98">
        <v>21</v>
      </c>
      <c r="J114" s="97">
        <f t="shared" si="82"/>
        <v>0</v>
      </c>
      <c r="K114" s="97">
        <f t="shared" si="83"/>
        <v>0</v>
      </c>
      <c r="L114" s="97">
        <f t="shared" si="84"/>
        <v>0</v>
      </c>
      <c r="M114" s="97">
        <f t="shared" si="85"/>
        <v>0</v>
      </c>
      <c r="N114" s="97">
        <f>'Stavební rozpočet'!N114</f>
        <v>0</v>
      </c>
      <c r="O114" s="97">
        <f t="shared" si="86"/>
        <v>0</v>
      </c>
      <c r="P114" s="99" t="s">
        <v>156</v>
      </c>
      <c r="Z114" s="55">
        <f t="shared" si="87"/>
        <v>0</v>
      </c>
      <c r="AB114" s="55">
        <f t="shared" si="88"/>
        <v>0</v>
      </c>
      <c r="AC114" s="55">
        <f t="shared" si="89"/>
        <v>0</v>
      </c>
      <c r="AD114" s="55">
        <f t="shared" si="90"/>
        <v>0</v>
      </c>
      <c r="AE114" s="55">
        <f t="shared" si="91"/>
        <v>0</v>
      </c>
      <c r="AF114" s="55">
        <f t="shared" si="92"/>
        <v>0</v>
      </c>
      <c r="AG114" s="55">
        <f t="shared" si="93"/>
        <v>0</v>
      </c>
      <c r="AH114" s="55">
        <f t="shared" si="94"/>
        <v>0</v>
      </c>
      <c r="AI114" s="75" t="s">
        <v>103</v>
      </c>
      <c r="AJ114" s="55">
        <f t="shared" si="95"/>
        <v>0</v>
      </c>
      <c r="AK114" s="55">
        <f t="shared" si="96"/>
        <v>0</v>
      </c>
      <c r="AL114" s="55">
        <f t="shared" si="97"/>
        <v>0</v>
      </c>
      <c r="AN114" s="55">
        <v>21</v>
      </c>
      <c r="AO114" s="55">
        <f t="shared" si="98"/>
        <v>0</v>
      </c>
      <c r="AP114" s="55">
        <f t="shared" si="99"/>
        <v>0</v>
      </c>
      <c r="AQ114" s="54" t="s">
        <v>179</v>
      </c>
      <c r="AV114" s="55">
        <f t="shared" si="100"/>
        <v>0</v>
      </c>
      <c r="AW114" s="55">
        <f t="shared" si="101"/>
        <v>0</v>
      </c>
      <c r="AX114" s="55">
        <f t="shared" si="102"/>
        <v>0</v>
      </c>
      <c r="AY114" s="54" t="s">
        <v>403</v>
      </c>
      <c r="AZ114" s="54" t="s">
        <v>289</v>
      </c>
      <c r="BA114" s="75" t="s">
        <v>160</v>
      </c>
      <c r="BC114" s="55">
        <f t="shared" si="103"/>
        <v>0</v>
      </c>
      <c r="BD114" s="55">
        <f t="shared" si="104"/>
        <v>0</v>
      </c>
      <c r="BE114" s="55">
        <v>0</v>
      </c>
      <c r="BF114" s="55">
        <f t="shared" si="105"/>
        <v>0</v>
      </c>
      <c r="BH114" s="55">
        <f t="shared" si="106"/>
        <v>0</v>
      </c>
      <c r="BI114" s="55">
        <f t="shared" si="107"/>
        <v>0</v>
      </c>
      <c r="BJ114" s="55">
        <f t="shared" si="108"/>
        <v>0</v>
      </c>
      <c r="BK114" s="54" t="s">
        <v>161</v>
      </c>
      <c r="BL114" s="55"/>
      <c r="BW114" s="55">
        <f t="shared" si="109"/>
        <v>21</v>
      </c>
      <c r="BX114" s="16" t="s">
        <v>463</v>
      </c>
    </row>
    <row r="115" spans="1:76" ht="15" customHeight="1" x14ac:dyDescent="0.3">
      <c r="A115" s="94" t="s">
        <v>464</v>
      </c>
      <c r="B115" s="94" t="s">
        <v>103</v>
      </c>
      <c r="C115" s="94" t="s">
        <v>465</v>
      </c>
      <c r="D115" s="199" t="s">
        <v>466</v>
      </c>
      <c r="E115" s="199"/>
      <c r="F115" s="94" t="s">
        <v>323</v>
      </c>
      <c r="G115" s="96">
        <f>'Stavební rozpočet'!G115</f>
        <v>0.219</v>
      </c>
      <c r="H115" s="97">
        <f>'Stavební rozpočet'!H115</f>
        <v>0</v>
      </c>
      <c r="I115" s="98">
        <v>21</v>
      </c>
      <c r="J115" s="97">
        <f t="shared" si="82"/>
        <v>0</v>
      </c>
      <c r="K115" s="97">
        <f t="shared" si="83"/>
        <v>0</v>
      </c>
      <c r="L115" s="97">
        <f t="shared" si="84"/>
        <v>0</v>
      </c>
      <c r="M115" s="97">
        <f t="shared" si="85"/>
        <v>0</v>
      </c>
      <c r="N115" s="97">
        <f>'Stavební rozpočet'!N115</f>
        <v>0</v>
      </c>
      <c r="O115" s="97">
        <f t="shared" si="86"/>
        <v>0</v>
      </c>
      <c r="P115" s="99" t="s">
        <v>156</v>
      </c>
      <c r="Z115" s="55">
        <f t="shared" si="87"/>
        <v>0</v>
      </c>
      <c r="AB115" s="55">
        <f t="shared" si="88"/>
        <v>0</v>
      </c>
      <c r="AC115" s="55">
        <f t="shared" si="89"/>
        <v>0</v>
      </c>
      <c r="AD115" s="55">
        <f t="shared" si="90"/>
        <v>0</v>
      </c>
      <c r="AE115" s="55">
        <f t="shared" si="91"/>
        <v>0</v>
      </c>
      <c r="AF115" s="55">
        <f t="shared" si="92"/>
        <v>0</v>
      </c>
      <c r="AG115" s="55">
        <f t="shared" si="93"/>
        <v>0</v>
      </c>
      <c r="AH115" s="55">
        <f t="shared" si="94"/>
        <v>0</v>
      </c>
      <c r="AI115" s="75" t="s">
        <v>103</v>
      </c>
      <c r="AJ115" s="55">
        <f t="shared" si="95"/>
        <v>0</v>
      </c>
      <c r="AK115" s="55">
        <f t="shared" si="96"/>
        <v>0</v>
      </c>
      <c r="AL115" s="55">
        <f t="shared" si="97"/>
        <v>0</v>
      </c>
      <c r="AN115" s="55">
        <v>21</v>
      </c>
      <c r="AO115" s="55">
        <f t="shared" si="98"/>
        <v>0</v>
      </c>
      <c r="AP115" s="55">
        <f t="shared" si="99"/>
        <v>0</v>
      </c>
      <c r="AQ115" s="54" t="s">
        <v>179</v>
      </c>
      <c r="AV115" s="55">
        <f t="shared" si="100"/>
        <v>0</v>
      </c>
      <c r="AW115" s="55">
        <f t="shared" si="101"/>
        <v>0</v>
      </c>
      <c r="AX115" s="55">
        <f t="shared" si="102"/>
        <v>0</v>
      </c>
      <c r="AY115" s="54" t="s">
        <v>403</v>
      </c>
      <c r="AZ115" s="54" t="s">
        <v>289</v>
      </c>
      <c r="BA115" s="75" t="s">
        <v>160</v>
      </c>
      <c r="BC115" s="55">
        <f t="shared" si="103"/>
        <v>0</v>
      </c>
      <c r="BD115" s="55">
        <f t="shared" si="104"/>
        <v>0</v>
      </c>
      <c r="BE115" s="55">
        <v>0</v>
      </c>
      <c r="BF115" s="55">
        <f t="shared" si="105"/>
        <v>0</v>
      </c>
      <c r="BH115" s="55">
        <f t="shared" si="106"/>
        <v>0</v>
      </c>
      <c r="BI115" s="55">
        <f t="shared" si="107"/>
        <v>0</v>
      </c>
      <c r="BJ115" s="55">
        <f t="shared" si="108"/>
        <v>0</v>
      </c>
      <c r="BK115" s="54" t="s">
        <v>161</v>
      </c>
      <c r="BL115" s="55"/>
      <c r="BW115" s="55">
        <f t="shared" si="109"/>
        <v>21</v>
      </c>
      <c r="BX115" s="16" t="s">
        <v>466</v>
      </c>
    </row>
    <row r="116" spans="1:76" ht="19.8" customHeight="1" x14ac:dyDescent="0.3">
      <c r="J116" s="191" t="s">
        <v>113</v>
      </c>
      <c r="K116" s="191"/>
      <c r="L116" s="129">
        <f>ROUND(L13+L16+L18+L22+L25+L32+L35+L37+L40+L42+L48+L51+L53+L62+L68+L85+L89+L93,1)</f>
        <v>0</v>
      </c>
      <c r="M116" s="129">
        <f>ROUND(M13+M16+M18+M22+M25+M32+M35+M37+M40+M42+M48+M51+M53+M62+M68+M85+M89+M93,1)</f>
        <v>0</v>
      </c>
    </row>
    <row r="117" spans="1:76" x14ac:dyDescent="0.3">
      <c r="A117"/>
    </row>
    <row r="118" spans="1:76" hidden="1" x14ac:dyDescent="0.3">
      <c r="A118" s="8"/>
      <c r="B118" s="8"/>
      <c r="C118" s="8"/>
      <c r="D118" s="8"/>
      <c r="E118" s="8"/>
      <c r="F118" s="8"/>
      <c r="G118" s="8"/>
      <c r="H118" s="8"/>
      <c r="I118" s="8"/>
      <c r="J118" s="8"/>
      <c r="K118" s="8"/>
      <c r="L118" s="8"/>
      <c r="M118" s="8"/>
      <c r="N118" s="8"/>
      <c r="O118" s="8"/>
      <c r="P118" s="8"/>
    </row>
  </sheetData>
  <mergeCells count="135">
    <mergeCell ref="J116:K116"/>
    <mergeCell ref="A118:P118"/>
    <mergeCell ref="D107:E107"/>
    <mergeCell ref="D108:E108"/>
    <mergeCell ref="D109:E109"/>
    <mergeCell ref="D110:E110"/>
    <mergeCell ref="D111:E111"/>
    <mergeCell ref="D112:E112"/>
    <mergeCell ref="D113:E113"/>
    <mergeCell ref="D114:E114"/>
    <mergeCell ref="D115:E115"/>
    <mergeCell ref="D98:E98"/>
    <mergeCell ref="D99:E99"/>
    <mergeCell ref="D100:E100"/>
    <mergeCell ref="D101:E101"/>
    <mergeCell ref="D102:E102"/>
    <mergeCell ref="D103:E103"/>
    <mergeCell ref="D104:E104"/>
    <mergeCell ref="D105:E105"/>
    <mergeCell ref="D106:E106"/>
    <mergeCell ref="D89:E89"/>
    <mergeCell ref="D90:E90"/>
    <mergeCell ref="D91:E91"/>
    <mergeCell ref="D92:E92"/>
    <mergeCell ref="D93:E93"/>
    <mergeCell ref="D94:E94"/>
    <mergeCell ref="D95:E95"/>
    <mergeCell ref="D96:E96"/>
    <mergeCell ref="D97:E97"/>
    <mergeCell ref="D80:E80"/>
    <mergeCell ref="D81:E81"/>
    <mergeCell ref="D82:E82"/>
    <mergeCell ref="D83:E83"/>
    <mergeCell ref="D84:E84"/>
    <mergeCell ref="D85:E85"/>
    <mergeCell ref="D86:E86"/>
    <mergeCell ref="D87:E87"/>
    <mergeCell ref="D88:E88"/>
    <mergeCell ref="D71:E71"/>
    <mergeCell ref="D72:E72"/>
    <mergeCell ref="D73:E73"/>
    <mergeCell ref="D74:E74"/>
    <mergeCell ref="D75:E75"/>
    <mergeCell ref="D76:E76"/>
    <mergeCell ref="D77:E77"/>
    <mergeCell ref="D78:E78"/>
    <mergeCell ref="D79:E79"/>
    <mergeCell ref="D62:E62"/>
    <mergeCell ref="D63:E63"/>
    <mergeCell ref="D64:E64"/>
    <mergeCell ref="D65:E65"/>
    <mergeCell ref="D66:E66"/>
    <mergeCell ref="D67:E67"/>
    <mergeCell ref="D68:E68"/>
    <mergeCell ref="D69:E69"/>
    <mergeCell ref="D70:E70"/>
    <mergeCell ref="D53:E53"/>
    <mergeCell ref="D54:E54"/>
    <mergeCell ref="D55:E55"/>
    <mergeCell ref="D56:E56"/>
    <mergeCell ref="D57:E57"/>
    <mergeCell ref="D58:E58"/>
    <mergeCell ref="D59:E59"/>
    <mergeCell ref="D60:E60"/>
    <mergeCell ref="D61:E61"/>
    <mergeCell ref="D44:E44"/>
    <mergeCell ref="D45:E45"/>
    <mergeCell ref="D46:E46"/>
    <mergeCell ref="D47:E47"/>
    <mergeCell ref="D48:E48"/>
    <mergeCell ref="D49:E49"/>
    <mergeCell ref="D50:E50"/>
    <mergeCell ref="D51:E51"/>
    <mergeCell ref="D52:E52"/>
    <mergeCell ref="D35:E35"/>
    <mergeCell ref="D36:E36"/>
    <mergeCell ref="D37:E37"/>
    <mergeCell ref="D38:E38"/>
    <mergeCell ref="D39:E39"/>
    <mergeCell ref="D40:E40"/>
    <mergeCell ref="D41:E41"/>
    <mergeCell ref="D42:E42"/>
    <mergeCell ref="D43:E43"/>
    <mergeCell ref="D26:E26"/>
    <mergeCell ref="D27:E27"/>
    <mergeCell ref="D28:E28"/>
    <mergeCell ref="D29:E29"/>
    <mergeCell ref="D30:E30"/>
    <mergeCell ref="D31:E31"/>
    <mergeCell ref="D32:E32"/>
    <mergeCell ref="D33:E33"/>
    <mergeCell ref="D34:E34"/>
    <mergeCell ref="D17:E17"/>
    <mergeCell ref="D18:E18"/>
    <mergeCell ref="D19:E19"/>
    <mergeCell ref="D20:E20"/>
    <mergeCell ref="D21:E21"/>
    <mergeCell ref="D22:E22"/>
    <mergeCell ref="D23:E23"/>
    <mergeCell ref="D24:E24"/>
    <mergeCell ref="D25:E25"/>
    <mergeCell ref="D10:E10"/>
    <mergeCell ref="J10:L10"/>
    <mergeCell ref="N10:O10"/>
    <mergeCell ref="D11:E11"/>
    <mergeCell ref="D12:E12"/>
    <mergeCell ref="D13:E13"/>
    <mergeCell ref="D14:E14"/>
    <mergeCell ref="D15:E15"/>
    <mergeCell ref="D16:E16"/>
    <mergeCell ref="A6:C7"/>
    <mergeCell ref="D6:E7"/>
    <mergeCell ref="F6:G7"/>
    <mergeCell ref="H6:H7"/>
    <mergeCell ref="I6:J7"/>
    <mergeCell ref="K6:P7"/>
    <mergeCell ref="A8:C9"/>
    <mergeCell ref="D8:E9"/>
    <mergeCell ref="F8:G9"/>
    <mergeCell ref="H8:H9"/>
    <mergeCell ref="I8:J9"/>
    <mergeCell ref="K8:P9"/>
    <mergeCell ref="A1:P1"/>
    <mergeCell ref="A2:C3"/>
    <mergeCell ref="D2:E3"/>
    <mergeCell ref="F2:G3"/>
    <mergeCell ref="H2:H3"/>
    <mergeCell ref="I2:J3"/>
    <mergeCell ref="K2:P3"/>
    <mergeCell ref="A4:C5"/>
    <mergeCell ref="D4:E5"/>
    <mergeCell ref="F4:G5"/>
    <mergeCell ref="H4:H5"/>
    <mergeCell ref="I4:J5"/>
    <mergeCell ref="K4:P5"/>
  </mergeCells>
  <pageMargins left="0.39374999999999999" right="0.39374999999999999" top="0.59097222222222201" bottom="0.59097222222222201" header="0.511811023622047" footer="0.511811023622047"/>
  <pageSetup fitToHeight="0" orientation="landscape"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4500"/>
    <pageSetUpPr fitToPage="1"/>
  </sheetPr>
  <dimension ref="A1:H224"/>
  <sheetViews>
    <sheetView zoomScaleNormal="100" workbookViewId="0">
      <selection activeCell="C225" sqref="C225"/>
    </sheetView>
  </sheetViews>
  <sheetFormatPr defaultColWidth="12.109375" defaultRowHeight="14.4" x14ac:dyDescent="0.3"/>
  <cols>
    <col min="1" max="2" width="9.109375" style="22" customWidth="1"/>
    <col min="3" max="3" width="14.33203125" style="22" customWidth="1"/>
    <col min="4" max="4" width="56.44140625" style="65" customWidth="1"/>
    <col min="5" max="5" width="18.21875" style="22" customWidth="1"/>
    <col min="6" max="6" width="24.109375" style="22" customWidth="1"/>
    <col min="7" max="7" width="15.6640625" style="22" customWidth="1"/>
    <col min="8" max="8" width="20" style="22" customWidth="1"/>
  </cols>
  <sheetData>
    <row r="1" spans="1:8" ht="39.75" customHeight="1" x14ac:dyDescent="0.25">
      <c r="A1" s="205" t="s">
        <v>921</v>
      </c>
      <c r="B1" s="205"/>
      <c r="C1" s="205"/>
      <c r="D1" s="205"/>
      <c r="E1" s="205"/>
      <c r="F1" s="205"/>
      <c r="G1" s="205"/>
      <c r="H1" s="205"/>
    </row>
    <row r="2" spans="1:8" ht="15" customHeight="1" x14ac:dyDescent="0.25">
      <c r="A2" s="13" t="s">
        <v>1</v>
      </c>
      <c r="B2" s="13"/>
      <c r="C2" s="12" t="str">
        <f>'Stavební rozpočet'!D2</f>
        <v>DEMOLICE PANELOVÉHO DOMU V HORNÍM PARKU</v>
      </c>
      <c r="D2" s="12"/>
      <c r="E2" s="11" t="s">
        <v>2</v>
      </c>
      <c r="F2" s="181" t="str">
        <f>'Stavební rozpočet'!J2</f>
        <v>MĚSTO ZNOJMO</v>
      </c>
      <c r="G2" s="181"/>
      <c r="H2" s="181"/>
    </row>
    <row r="3" spans="1:8" ht="13.2" x14ac:dyDescent="0.25">
      <c r="A3" s="13"/>
      <c r="B3" s="13"/>
      <c r="C3" s="12"/>
      <c r="D3" s="12"/>
      <c r="E3" s="11"/>
      <c r="F3" s="11"/>
      <c r="G3" s="181"/>
      <c r="H3" s="181"/>
    </row>
    <row r="4" spans="1:8" ht="15" customHeight="1" x14ac:dyDescent="0.25">
      <c r="A4" s="9" t="s">
        <v>4</v>
      </c>
      <c r="B4" s="9"/>
      <c r="C4" s="8" t="str">
        <f>'Stavební rozpočet'!D4</f>
        <v>Postupná demolice panelového domu</v>
      </c>
      <c r="D4" s="8"/>
      <c r="E4" s="8" t="s">
        <v>5</v>
      </c>
      <c r="F4" s="182" t="str">
        <f>'Stavební rozpočet'!J4</f>
        <v>Ing.  Roman Zvěřina, Dolní Česká 358/25, 669 02 Znojmo</v>
      </c>
      <c r="G4" s="182"/>
      <c r="H4" s="182"/>
    </row>
    <row r="5" spans="1:8" ht="13.2" x14ac:dyDescent="0.25">
      <c r="A5" s="9"/>
      <c r="B5" s="9"/>
      <c r="C5" s="8"/>
      <c r="D5" s="8"/>
      <c r="E5" s="8"/>
      <c r="F5" s="8"/>
      <c r="G5" s="182"/>
      <c r="H5" s="182"/>
    </row>
    <row r="6" spans="1:8" ht="15" customHeight="1" x14ac:dyDescent="0.25">
      <c r="A6" s="9" t="s">
        <v>7</v>
      </c>
      <c r="B6" s="9"/>
      <c r="C6" s="8" t="str">
        <f>'Stavební rozpočet'!D6</f>
        <v>k.ú.Znojmo-město parc.č.258/5</v>
      </c>
      <c r="D6" s="8"/>
      <c r="E6" s="8" t="s">
        <v>8</v>
      </c>
      <c r="F6" s="182" t="str">
        <f>'Stavební rozpočet'!J6</f>
        <v> </v>
      </c>
      <c r="G6" s="182"/>
      <c r="H6" s="182"/>
    </row>
    <row r="7" spans="1:8" ht="13.2" x14ac:dyDescent="0.25">
      <c r="A7" s="9"/>
      <c r="B7" s="9"/>
      <c r="C7" s="8"/>
      <c r="D7" s="8"/>
      <c r="E7" s="8"/>
      <c r="F7" s="8"/>
      <c r="G7" s="182"/>
      <c r="H7" s="182"/>
    </row>
    <row r="8" spans="1:8" ht="15" customHeight="1" x14ac:dyDescent="0.25">
      <c r="A8" s="9" t="s">
        <v>13</v>
      </c>
      <c r="B8" s="9"/>
      <c r="C8" s="8" t="str">
        <f>'Stavební rozpočet'!J8</f>
        <v>Bohuslav Hemala</v>
      </c>
      <c r="D8" s="8"/>
      <c r="E8" s="8" t="s">
        <v>95</v>
      </c>
      <c r="F8" s="182" t="str">
        <f>'Stavební rozpočet'!H8</f>
        <v>16.05.2025</v>
      </c>
      <c r="G8" s="182"/>
      <c r="H8" s="182"/>
    </row>
    <row r="9" spans="1:8" ht="13.2" x14ac:dyDescent="0.25">
      <c r="A9" s="9"/>
      <c r="B9" s="9"/>
      <c r="C9" s="8"/>
      <c r="D9" s="8"/>
      <c r="E9" s="8"/>
      <c r="F9" s="8"/>
      <c r="G9" s="182"/>
      <c r="H9" s="182"/>
    </row>
    <row r="10" spans="1:8" ht="15" customHeight="1" x14ac:dyDescent="0.25">
      <c r="A10" s="130" t="s">
        <v>122</v>
      </c>
      <c r="B10" s="131" t="s">
        <v>99</v>
      </c>
      <c r="C10" s="131" t="s">
        <v>123</v>
      </c>
      <c r="D10" s="206" t="s">
        <v>100</v>
      </c>
      <c r="E10" s="206"/>
      <c r="F10" s="131" t="s">
        <v>124</v>
      </c>
      <c r="G10" s="132" t="s">
        <v>125</v>
      </c>
      <c r="H10" s="133" t="s">
        <v>685</v>
      </c>
    </row>
    <row r="11" spans="1:8" ht="15" customHeight="1" x14ac:dyDescent="0.25">
      <c r="A11" s="89"/>
      <c r="B11" s="89" t="s">
        <v>686</v>
      </c>
      <c r="C11" s="89" t="s">
        <v>150</v>
      </c>
      <c r="D11" s="198" t="s">
        <v>151</v>
      </c>
      <c r="E11" s="198"/>
      <c r="F11" s="89"/>
      <c r="G11" s="92"/>
      <c r="H11" s="92"/>
    </row>
    <row r="12" spans="1:8" ht="15" customHeight="1" x14ac:dyDescent="0.25">
      <c r="A12" s="89"/>
      <c r="B12" s="89" t="s">
        <v>686</v>
      </c>
      <c r="C12" s="89" t="s">
        <v>165</v>
      </c>
      <c r="D12" s="198" t="s">
        <v>166</v>
      </c>
      <c r="E12" s="198"/>
      <c r="F12" s="89"/>
      <c r="G12" s="92"/>
      <c r="H12" s="92"/>
    </row>
    <row r="13" spans="1:8" ht="15" customHeight="1" x14ac:dyDescent="0.25">
      <c r="A13" s="89"/>
      <c r="B13" s="89" t="s">
        <v>686</v>
      </c>
      <c r="C13" s="89" t="s">
        <v>171</v>
      </c>
      <c r="D13" s="198" t="s">
        <v>172</v>
      </c>
      <c r="E13" s="198"/>
      <c r="F13" s="89"/>
      <c r="G13" s="92"/>
      <c r="H13" s="92"/>
    </row>
    <row r="14" spans="1:8" ht="15" customHeight="1" x14ac:dyDescent="0.25">
      <c r="A14" s="89"/>
      <c r="B14" s="89" t="s">
        <v>686</v>
      </c>
      <c r="C14" s="89" t="s">
        <v>185</v>
      </c>
      <c r="D14" s="198" t="s">
        <v>186</v>
      </c>
      <c r="E14" s="198"/>
      <c r="F14" s="89"/>
      <c r="G14" s="92"/>
      <c r="H14" s="92"/>
    </row>
    <row r="15" spans="1:8" ht="15" customHeight="1" x14ac:dyDescent="0.25">
      <c r="A15" s="89"/>
      <c r="B15" s="89" t="s">
        <v>686</v>
      </c>
      <c r="C15" s="89" t="s">
        <v>193</v>
      </c>
      <c r="D15" s="198" t="s">
        <v>194</v>
      </c>
      <c r="E15" s="198"/>
      <c r="F15" s="89"/>
      <c r="G15" s="92"/>
      <c r="H15" s="92"/>
    </row>
    <row r="16" spans="1:8" ht="15" customHeight="1" x14ac:dyDescent="0.25">
      <c r="A16" s="89"/>
      <c r="B16" s="89" t="s">
        <v>686</v>
      </c>
      <c r="C16" s="89" t="s">
        <v>216</v>
      </c>
      <c r="D16" s="198" t="s">
        <v>217</v>
      </c>
      <c r="E16" s="198"/>
      <c r="F16" s="89"/>
      <c r="G16" s="92"/>
      <c r="H16" s="92"/>
    </row>
    <row r="17" spans="1:8" ht="15" customHeight="1" x14ac:dyDescent="0.25">
      <c r="A17" s="89"/>
      <c r="B17" s="89" t="s">
        <v>686</v>
      </c>
      <c r="C17" s="89" t="s">
        <v>226</v>
      </c>
      <c r="D17" s="198" t="s">
        <v>227</v>
      </c>
      <c r="E17" s="198"/>
      <c r="F17" s="89"/>
      <c r="G17" s="92"/>
      <c r="H17" s="92"/>
    </row>
    <row r="18" spans="1:8" ht="15" customHeight="1" x14ac:dyDescent="0.25">
      <c r="A18" s="89"/>
      <c r="B18" s="89" t="s">
        <v>686</v>
      </c>
      <c r="C18" s="89" t="s">
        <v>232</v>
      </c>
      <c r="D18" s="198" t="s">
        <v>233</v>
      </c>
      <c r="E18" s="198"/>
      <c r="F18" s="89"/>
      <c r="G18" s="92"/>
      <c r="H18" s="92"/>
    </row>
    <row r="19" spans="1:8" ht="15" customHeight="1" x14ac:dyDescent="0.25">
      <c r="A19" s="89"/>
      <c r="B19" s="89" t="s">
        <v>686</v>
      </c>
      <c r="C19" s="89" t="s">
        <v>242</v>
      </c>
      <c r="D19" s="198" t="s">
        <v>243</v>
      </c>
      <c r="E19" s="198"/>
      <c r="F19" s="89"/>
      <c r="G19" s="92"/>
      <c r="H19" s="92"/>
    </row>
    <row r="20" spans="1:8" ht="15" customHeight="1" x14ac:dyDescent="0.25">
      <c r="A20" s="89"/>
      <c r="B20" s="89" t="s">
        <v>686</v>
      </c>
      <c r="C20" s="89" t="s">
        <v>248</v>
      </c>
      <c r="D20" s="198" t="s">
        <v>249</v>
      </c>
      <c r="E20" s="198"/>
      <c r="F20" s="89"/>
      <c r="G20" s="92"/>
      <c r="H20" s="92"/>
    </row>
    <row r="21" spans="1:8" ht="15" customHeight="1" x14ac:dyDescent="0.25">
      <c r="A21" s="89"/>
      <c r="B21" s="89" t="s">
        <v>686</v>
      </c>
      <c r="C21" s="89" t="s">
        <v>266</v>
      </c>
      <c r="D21" s="198" t="s">
        <v>267</v>
      </c>
      <c r="E21" s="198"/>
      <c r="F21" s="89"/>
      <c r="G21" s="92"/>
      <c r="H21" s="92"/>
    </row>
    <row r="22" spans="1:8" ht="15" customHeight="1" x14ac:dyDescent="0.25">
      <c r="A22" s="89"/>
      <c r="B22" s="89" t="s">
        <v>686</v>
      </c>
      <c r="C22" s="89" t="s">
        <v>275</v>
      </c>
      <c r="D22" s="198" t="s">
        <v>276</v>
      </c>
      <c r="E22" s="198"/>
      <c r="F22" s="89"/>
      <c r="G22" s="92"/>
      <c r="H22" s="92"/>
    </row>
    <row r="23" spans="1:8" ht="15" customHeight="1" x14ac:dyDescent="0.25">
      <c r="A23" s="89"/>
      <c r="B23" s="89" t="s">
        <v>686</v>
      </c>
      <c r="C23" s="89" t="s">
        <v>282</v>
      </c>
      <c r="D23" s="198" t="s">
        <v>283</v>
      </c>
      <c r="E23" s="198"/>
      <c r="F23" s="89"/>
      <c r="G23" s="92"/>
      <c r="H23" s="92"/>
    </row>
    <row r="24" spans="1:8" ht="15" customHeight="1" x14ac:dyDescent="0.25">
      <c r="A24" s="89"/>
      <c r="B24" s="89" t="s">
        <v>686</v>
      </c>
      <c r="C24" s="89" t="s">
        <v>305</v>
      </c>
      <c r="D24" s="198" t="s">
        <v>306</v>
      </c>
      <c r="E24" s="198"/>
      <c r="F24" s="89"/>
      <c r="G24" s="92"/>
      <c r="H24" s="92"/>
    </row>
    <row r="25" spans="1:8" ht="15" customHeight="1" x14ac:dyDescent="0.25">
      <c r="A25" s="89"/>
      <c r="B25" s="89" t="s">
        <v>686</v>
      </c>
      <c r="C25" s="89" t="s">
        <v>324</v>
      </c>
      <c r="D25" s="198" t="s">
        <v>325</v>
      </c>
      <c r="E25" s="198"/>
      <c r="F25" s="89"/>
      <c r="G25" s="92"/>
      <c r="H25" s="92"/>
    </row>
    <row r="26" spans="1:8" ht="15" customHeight="1" x14ac:dyDescent="0.25">
      <c r="A26" s="89"/>
      <c r="B26" s="89" t="s">
        <v>686</v>
      </c>
      <c r="C26" s="89" t="s">
        <v>376</v>
      </c>
      <c r="D26" s="198" t="s">
        <v>377</v>
      </c>
      <c r="E26" s="198"/>
      <c r="F26" s="89"/>
      <c r="G26" s="92"/>
      <c r="H26" s="92"/>
    </row>
    <row r="27" spans="1:8" ht="15" customHeight="1" x14ac:dyDescent="0.25">
      <c r="A27" s="89"/>
      <c r="B27" s="89" t="s">
        <v>686</v>
      </c>
      <c r="C27" s="89" t="s">
        <v>388</v>
      </c>
      <c r="D27" s="198" t="s">
        <v>389</v>
      </c>
      <c r="E27" s="198"/>
      <c r="F27" s="89"/>
      <c r="G27" s="92"/>
      <c r="H27" s="92"/>
    </row>
    <row r="28" spans="1:8" ht="15" customHeight="1" x14ac:dyDescent="0.25">
      <c r="A28" s="89"/>
      <c r="B28" s="89" t="s">
        <v>686</v>
      </c>
      <c r="C28" s="89" t="s">
        <v>398</v>
      </c>
      <c r="D28" s="198" t="s">
        <v>399</v>
      </c>
      <c r="E28" s="198"/>
      <c r="F28" s="89"/>
      <c r="G28" s="92"/>
      <c r="H28" s="92"/>
    </row>
    <row r="29" spans="1:8" ht="15" customHeight="1" x14ac:dyDescent="0.25">
      <c r="A29" s="94" t="s">
        <v>152</v>
      </c>
      <c r="B29" s="94" t="s">
        <v>103</v>
      </c>
      <c r="C29" s="94" t="s">
        <v>153</v>
      </c>
      <c r="D29" s="199" t="s">
        <v>154</v>
      </c>
      <c r="E29" s="199"/>
      <c r="F29" s="94" t="s">
        <v>155</v>
      </c>
      <c r="G29" s="97">
        <v>162</v>
      </c>
      <c r="H29" s="97">
        <v>0</v>
      </c>
    </row>
    <row r="30" spans="1:8" x14ac:dyDescent="0.3">
      <c r="A30" s="134"/>
      <c r="B30" s="134"/>
      <c r="C30" s="134"/>
      <c r="D30" s="135" t="s">
        <v>687</v>
      </c>
      <c r="E30" s="207"/>
      <c r="F30" s="207"/>
      <c r="G30" s="137">
        <v>162</v>
      </c>
      <c r="H30" s="134"/>
    </row>
    <row r="31" spans="1:8" ht="15" customHeight="1" x14ac:dyDescent="0.25">
      <c r="A31" s="94" t="s">
        <v>162</v>
      </c>
      <c r="B31" s="94" t="s">
        <v>103</v>
      </c>
      <c r="C31" s="94" t="s">
        <v>163</v>
      </c>
      <c r="D31" s="199" t="s">
        <v>164</v>
      </c>
      <c r="E31" s="199"/>
      <c r="F31" s="94" t="s">
        <v>155</v>
      </c>
      <c r="G31" s="97">
        <v>162</v>
      </c>
      <c r="H31" s="97">
        <v>0</v>
      </c>
    </row>
    <row r="32" spans="1:8" x14ac:dyDescent="0.3">
      <c r="A32" s="134"/>
      <c r="B32" s="134"/>
      <c r="C32" s="134"/>
      <c r="D32" s="135" t="s">
        <v>687</v>
      </c>
      <c r="E32" s="207"/>
      <c r="F32" s="207"/>
      <c r="G32" s="137">
        <v>162</v>
      </c>
      <c r="H32" s="134"/>
    </row>
    <row r="33" spans="1:8" ht="15" customHeight="1" x14ac:dyDescent="0.25">
      <c r="A33" s="94" t="s">
        <v>167</v>
      </c>
      <c r="B33" s="94" t="s">
        <v>103</v>
      </c>
      <c r="C33" s="94" t="s">
        <v>168</v>
      </c>
      <c r="D33" s="199" t="s">
        <v>169</v>
      </c>
      <c r="E33" s="199"/>
      <c r="F33" s="94" t="s">
        <v>155</v>
      </c>
      <c r="G33" s="97">
        <v>162</v>
      </c>
      <c r="H33" s="97">
        <v>0</v>
      </c>
    </row>
    <row r="34" spans="1:8" x14ac:dyDescent="0.3">
      <c r="A34" s="134"/>
      <c r="B34" s="134"/>
      <c r="C34" s="134"/>
      <c r="D34" s="135" t="s">
        <v>688</v>
      </c>
      <c r="E34" s="207" t="s">
        <v>689</v>
      </c>
      <c r="F34" s="207"/>
      <c r="G34" s="137">
        <v>162</v>
      </c>
      <c r="H34" s="134"/>
    </row>
    <row r="35" spans="1:8" ht="15" customHeight="1" x14ac:dyDescent="0.25">
      <c r="A35" s="94" t="s">
        <v>173</v>
      </c>
      <c r="B35" s="94" t="s">
        <v>103</v>
      </c>
      <c r="C35" s="94" t="s">
        <v>174</v>
      </c>
      <c r="D35" s="199" t="s">
        <v>175</v>
      </c>
      <c r="E35" s="199"/>
      <c r="F35" s="94" t="s">
        <v>176</v>
      </c>
      <c r="G35" s="97">
        <v>20</v>
      </c>
      <c r="H35" s="97">
        <v>0</v>
      </c>
    </row>
    <row r="36" spans="1:8" x14ac:dyDescent="0.3">
      <c r="A36" s="134"/>
      <c r="B36" s="134"/>
      <c r="C36" s="134"/>
      <c r="D36" s="135" t="s">
        <v>244</v>
      </c>
      <c r="E36" s="207"/>
      <c r="F36" s="207"/>
      <c r="G36" s="137">
        <v>20</v>
      </c>
      <c r="H36" s="134"/>
    </row>
    <row r="37" spans="1:8" ht="15" customHeight="1" x14ac:dyDescent="0.25">
      <c r="A37" s="94" t="s">
        <v>179</v>
      </c>
      <c r="B37" s="94" t="s">
        <v>103</v>
      </c>
      <c r="C37" s="94" t="s">
        <v>180</v>
      </c>
      <c r="D37" s="199" t="s">
        <v>181</v>
      </c>
      <c r="E37" s="199"/>
      <c r="F37" s="94" t="s">
        <v>176</v>
      </c>
      <c r="G37" s="97">
        <v>25</v>
      </c>
      <c r="H37" s="97">
        <v>0</v>
      </c>
    </row>
    <row r="38" spans="1:8" x14ac:dyDescent="0.3">
      <c r="A38" s="134"/>
      <c r="B38" s="134"/>
      <c r="C38" s="134"/>
      <c r="D38" s="135" t="s">
        <v>263</v>
      </c>
      <c r="E38" s="207"/>
      <c r="F38" s="207"/>
      <c r="G38" s="137">
        <v>25</v>
      </c>
      <c r="H38" s="134"/>
    </row>
    <row r="39" spans="1:8" ht="15" customHeight="1" x14ac:dyDescent="0.25">
      <c r="A39" s="94" t="s">
        <v>182</v>
      </c>
      <c r="B39" s="94" t="s">
        <v>103</v>
      </c>
      <c r="C39" s="94" t="s">
        <v>183</v>
      </c>
      <c r="D39" s="199" t="s">
        <v>184</v>
      </c>
      <c r="E39" s="199"/>
      <c r="F39" s="94" t="s">
        <v>176</v>
      </c>
      <c r="G39" s="97">
        <v>25</v>
      </c>
      <c r="H39" s="97">
        <v>0</v>
      </c>
    </row>
    <row r="40" spans="1:8" x14ac:dyDescent="0.3">
      <c r="A40" s="134"/>
      <c r="B40" s="134"/>
      <c r="C40" s="134"/>
      <c r="D40" s="135" t="s">
        <v>263</v>
      </c>
      <c r="E40" s="207"/>
      <c r="F40" s="207"/>
      <c r="G40" s="137">
        <v>25</v>
      </c>
      <c r="H40" s="134"/>
    </row>
    <row r="41" spans="1:8" ht="15" customHeight="1" x14ac:dyDescent="0.25">
      <c r="A41" s="94" t="s">
        <v>157</v>
      </c>
      <c r="B41" s="94" t="s">
        <v>103</v>
      </c>
      <c r="C41" s="94" t="s">
        <v>187</v>
      </c>
      <c r="D41" s="199" t="s">
        <v>188</v>
      </c>
      <c r="E41" s="199"/>
      <c r="F41" s="94" t="s">
        <v>176</v>
      </c>
      <c r="G41" s="97">
        <v>20</v>
      </c>
      <c r="H41" s="97">
        <v>0</v>
      </c>
    </row>
    <row r="42" spans="1:8" x14ac:dyDescent="0.3">
      <c r="A42" s="134"/>
      <c r="B42" s="134"/>
      <c r="C42" s="134"/>
      <c r="D42" s="135" t="s">
        <v>244</v>
      </c>
      <c r="E42" s="207"/>
      <c r="F42" s="207"/>
      <c r="G42" s="137">
        <v>20</v>
      </c>
      <c r="H42" s="134"/>
    </row>
    <row r="43" spans="1:8" ht="15" customHeight="1" x14ac:dyDescent="0.25">
      <c r="A43" s="94" t="s">
        <v>190</v>
      </c>
      <c r="B43" s="94" t="s">
        <v>103</v>
      </c>
      <c r="C43" s="94" t="s">
        <v>191</v>
      </c>
      <c r="D43" s="199" t="s">
        <v>192</v>
      </c>
      <c r="E43" s="199"/>
      <c r="F43" s="94" t="s">
        <v>176</v>
      </c>
      <c r="G43" s="97">
        <v>65</v>
      </c>
      <c r="H43" s="97">
        <v>0</v>
      </c>
    </row>
    <row r="44" spans="1:8" x14ac:dyDescent="0.3">
      <c r="A44" s="134"/>
      <c r="B44" s="134"/>
      <c r="C44" s="134"/>
      <c r="D44" s="135" t="s">
        <v>404</v>
      </c>
      <c r="E44" s="207"/>
      <c r="F44" s="207"/>
      <c r="G44" s="137">
        <v>65</v>
      </c>
      <c r="H44" s="134"/>
    </row>
    <row r="45" spans="1:8" ht="15" customHeight="1" x14ac:dyDescent="0.25">
      <c r="A45" s="94" t="s">
        <v>195</v>
      </c>
      <c r="B45" s="94" t="s">
        <v>103</v>
      </c>
      <c r="C45" s="94" t="s">
        <v>196</v>
      </c>
      <c r="D45" s="199" t="s">
        <v>197</v>
      </c>
      <c r="E45" s="199"/>
      <c r="F45" s="94" t="s">
        <v>198</v>
      </c>
      <c r="G45" s="97">
        <v>4</v>
      </c>
      <c r="H45" s="97">
        <v>0</v>
      </c>
    </row>
    <row r="46" spans="1:8" x14ac:dyDescent="0.3">
      <c r="A46" s="134"/>
      <c r="B46" s="134"/>
      <c r="C46" s="134"/>
      <c r="D46" s="135" t="s">
        <v>173</v>
      </c>
      <c r="E46" s="207"/>
      <c r="F46" s="207"/>
      <c r="G46" s="137">
        <v>4</v>
      </c>
      <c r="H46" s="134"/>
    </row>
    <row r="47" spans="1:8" ht="15" customHeight="1" x14ac:dyDescent="0.25">
      <c r="A47" s="94" t="s">
        <v>200</v>
      </c>
      <c r="B47" s="94" t="s">
        <v>103</v>
      </c>
      <c r="C47" s="94" t="s">
        <v>201</v>
      </c>
      <c r="D47" s="199" t="s">
        <v>202</v>
      </c>
      <c r="E47" s="199"/>
      <c r="F47" s="94" t="s">
        <v>198</v>
      </c>
      <c r="G47" s="97">
        <v>5</v>
      </c>
      <c r="H47" s="97">
        <v>0</v>
      </c>
    </row>
    <row r="48" spans="1:8" x14ac:dyDescent="0.3">
      <c r="A48" s="134"/>
      <c r="B48" s="134"/>
      <c r="C48" s="134"/>
      <c r="D48" s="135" t="s">
        <v>690</v>
      </c>
      <c r="E48" s="207"/>
      <c r="F48" s="207"/>
      <c r="G48" s="137">
        <v>5</v>
      </c>
      <c r="H48" s="134"/>
    </row>
    <row r="49" spans="1:8" ht="15" customHeight="1" x14ac:dyDescent="0.25">
      <c r="A49" s="94" t="s">
        <v>203</v>
      </c>
      <c r="B49" s="94" t="s">
        <v>103</v>
      </c>
      <c r="C49" s="94" t="s">
        <v>204</v>
      </c>
      <c r="D49" s="199" t="s">
        <v>205</v>
      </c>
      <c r="E49" s="199"/>
      <c r="F49" s="94" t="s">
        <v>198</v>
      </c>
      <c r="G49" s="97">
        <v>1</v>
      </c>
      <c r="H49" s="97">
        <v>0</v>
      </c>
    </row>
    <row r="50" spans="1:8" x14ac:dyDescent="0.3">
      <c r="A50" s="134"/>
      <c r="B50" s="134"/>
      <c r="C50" s="134"/>
      <c r="D50" s="135" t="s">
        <v>152</v>
      </c>
      <c r="E50" s="207"/>
      <c r="F50" s="207"/>
      <c r="G50" s="137">
        <v>1</v>
      </c>
      <c r="H50" s="134"/>
    </row>
    <row r="51" spans="1:8" ht="15" customHeight="1" x14ac:dyDescent="0.25">
      <c r="A51" s="94" t="s">
        <v>206</v>
      </c>
      <c r="B51" s="94" t="s">
        <v>103</v>
      </c>
      <c r="C51" s="94" t="s">
        <v>207</v>
      </c>
      <c r="D51" s="199" t="s">
        <v>208</v>
      </c>
      <c r="E51" s="199"/>
      <c r="F51" s="94" t="s">
        <v>198</v>
      </c>
      <c r="G51" s="97">
        <v>2</v>
      </c>
      <c r="H51" s="97">
        <v>0</v>
      </c>
    </row>
    <row r="52" spans="1:8" x14ac:dyDescent="0.3">
      <c r="A52" s="134"/>
      <c r="B52" s="134"/>
      <c r="C52" s="134"/>
      <c r="D52" s="135" t="s">
        <v>162</v>
      </c>
      <c r="E52" s="207"/>
      <c r="F52" s="207"/>
      <c r="G52" s="137">
        <v>2</v>
      </c>
      <c r="H52" s="134"/>
    </row>
    <row r="53" spans="1:8" ht="15" customHeight="1" x14ac:dyDescent="0.25">
      <c r="A53" s="94" t="s">
        <v>209</v>
      </c>
      <c r="B53" s="94" t="s">
        <v>103</v>
      </c>
      <c r="C53" s="94" t="s">
        <v>210</v>
      </c>
      <c r="D53" s="199" t="s">
        <v>211</v>
      </c>
      <c r="E53" s="199"/>
      <c r="F53" s="94" t="s">
        <v>212</v>
      </c>
      <c r="G53" s="97">
        <v>5</v>
      </c>
      <c r="H53" s="97">
        <v>0</v>
      </c>
    </row>
    <row r="54" spans="1:8" x14ac:dyDescent="0.3">
      <c r="A54" s="134"/>
      <c r="B54" s="134"/>
      <c r="C54" s="134"/>
      <c r="D54" s="135" t="s">
        <v>179</v>
      </c>
      <c r="E54" s="207"/>
      <c r="F54" s="207"/>
      <c r="G54" s="137">
        <v>5</v>
      </c>
      <c r="H54" s="134"/>
    </row>
    <row r="55" spans="1:8" ht="15" customHeight="1" x14ac:dyDescent="0.25">
      <c r="A55" s="94" t="s">
        <v>213</v>
      </c>
      <c r="B55" s="94" t="s">
        <v>103</v>
      </c>
      <c r="C55" s="94" t="s">
        <v>214</v>
      </c>
      <c r="D55" s="199" t="s">
        <v>215</v>
      </c>
      <c r="E55" s="199"/>
      <c r="F55" s="94" t="s">
        <v>198</v>
      </c>
      <c r="G55" s="97">
        <v>1</v>
      </c>
      <c r="H55" s="97">
        <v>0</v>
      </c>
    </row>
    <row r="56" spans="1:8" x14ac:dyDescent="0.3">
      <c r="A56" s="134"/>
      <c r="B56" s="134"/>
      <c r="C56" s="134"/>
      <c r="D56" s="135" t="s">
        <v>152</v>
      </c>
      <c r="E56" s="207"/>
      <c r="F56" s="207"/>
      <c r="G56" s="137">
        <v>1</v>
      </c>
      <c r="H56" s="134"/>
    </row>
    <row r="57" spans="1:8" ht="15" customHeight="1" x14ac:dyDescent="0.25">
      <c r="A57" s="94" t="s">
        <v>218</v>
      </c>
      <c r="B57" s="94" t="s">
        <v>103</v>
      </c>
      <c r="C57" s="94" t="s">
        <v>219</v>
      </c>
      <c r="D57" s="199" t="s">
        <v>220</v>
      </c>
      <c r="E57" s="199"/>
      <c r="F57" s="94" t="s">
        <v>176</v>
      </c>
      <c r="G57" s="97">
        <v>85</v>
      </c>
      <c r="H57" s="97">
        <v>0</v>
      </c>
    </row>
    <row r="58" spans="1:8" x14ac:dyDescent="0.3">
      <c r="A58" s="134"/>
      <c r="B58" s="134"/>
      <c r="C58" s="134"/>
      <c r="D58" s="135" t="s">
        <v>464</v>
      </c>
      <c r="E58" s="207"/>
      <c r="F58" s="207"/>
      <c r="G58" s="137">
        <v>85</v>
      </c>
      <c r="H58" s="134"/>
    </row>
    <row r="59" spans="1:8" ht="15" customHeight="1" x14ac:dyDescent="0.25">
      <c r="A59" s="94" t="s">
        <v>223</v>
      </c>
      <c r="B59" s="94" t="s">
        <v>103</v>
      </c>
      <c r="C59" s="94" t="s">
        <v>224</v>
      </c>
      <c r="D59" s="199" t="s">
        <v>225</v>
      </c>
      <c r="E59" s="199"/>
      <c r="F59" s="94" t="s">
        <v>176</v>
      </c>
      <c r="G59" s="97">
        <v>20</v>
      </c>
      <c r="H59" s="97">
        <v>0</v>
      </c>
    </row>
    <row r="60" spans="1:8" x14ac:dyDescent="0.3">
      <c r="A60" s="134"/>
      <c r="B60" s="134"/>
      <c r="C60" s="134"/>
      <c r="D60" s="135" t="s">
        <v>244</v>
      </c>
      <c r="E60" s="207"/>
      <c r="F60" s="207"/>
      <c r="G60" s="137">
        <v>20</v>
      </c>
      <c r="H60" s="134"/>
    </row>
    <row r="61" spans="1:8" ht="15" customHeight="1" x14ac:dyDescent="0.25">
      <c r="A61" s="94" t="s">
        <v>228</v>
      </c>
      <c r="B61" s="94" t="s">
        <v>103</v>
      </c>
      <c r="C61" s="94" t="s">
        <v>229</v>
      </c>
      <c r="D61" s="199" t="s">
        <v>230</v>
      </c>
      <c r="E61" s="199"/>
      <c r="F61" s="94" t="s">
        <v>155</v>
      </c>
      <c r="G61" s="97">
        <v>18</v>
      </c>
      <c r="H61" s="97">
        <v>0</v>
      </c>
    </row>
    <row r="62" spans="1:8" x14ac:dyDescent="0.3">
      <c r="A62" s="134"/>
      <c r="B62" s="134"/>
      <c r="C62" s="134"/>
      <c r="D62" s="135" t="s">
        <v>691</v>
      </c>
      <c r="E62" s="207"/>
      <c r="F62" s="207"/>
      <c r="G62" s="137">
        <v>18</v>
      </c>
      <c r="H62" s="134"/>
    </row>
    <row r="63" spans="1:8" ht="15" customHeight="1" x14ac:dyDescent="0.25">
      <c r="A63" s="94" t="s">
        <v>234</v>
      </c>
      <c r="B63" s="94" t="s">
        <v>103</v>
      </c>
      <c r="C63" s="94" t="s">
        <v>235</v>
      </c>
      <c r="D63" s="199" t="s">
        <v>236</v>
      </c>
      <c r="E63" s="199"/>
      <c r="F63" s="94" t="s">
        <v>155</v>
      </c>
      <c r="G63" s="97">
        <v>47.04</v>
      </c>
      <c r="H63" s="97">
        <v>0</v>
      </c>
    </row>
    <row r="64" spans="1:8" x14ac:dyDescent="0.3">
      <c r="A64" s="134"/>
      <c r="B64" s="134"/>
      <c r="C64" s="134"/>
      <c r="D64" s="135" t="s">
        <v>692</v>
      </c>
      <c r="E64" s="207"/>
      <c r="F64" s="207"/>
      <c r="G64" s="137">
        <v>47.04</v>
      </c>
      <c r="H64" s="134"/>
    </row>
    <row r="65" spans="1:8" ht="15" customHeight="1" x14ac:dyDescent="0.25">
      <c r="A65" s="94" t="s">
        <v>239</v>
      </c>
      <c r="B65" s="94" t="s">
        <v>103</v>
      </c>
      <c r="C65" s="94" t="s">
        <v>240</v>
      </c>
      <c r="D65" s="199" t="s">
        <v>241</v>
      </c>
      <c r="E65" s="199"/>
      <c r="F65" s="94" t="s">
        <v>155</v>
      </c>
      <c r="G65" s="97">
        <v>10.106</v>
      </c>
      <c r="H65" s="97">
        <v>0</v>
      </c>
    </row>
    <row r="66" spans="1:8" x14ac:dyDescent="0.3">
      <c r="A66" s="134"/>
      <c r="B66" s="134"/>
      <c r="C66" s="134"/>
      <c r="D66" s="135" t="s">
        <v>693</v>
      </c>
      <c r="E66" s="207"/>
      <c r="F66" s="207"/>
      <c r="G66" s="137">
        <v>10.106</v>
      </c>
      <c r="H66" s="134"/>
    </row>
    <row r="67" spans="1:8" ht="15" customHeight="1" x14ac:dyDescent="0.25">
      <c r="A67" s="94" t="s">
        <v>244</v>
      </c>
      <c r="B67" s="94" t="s">
        <v>103</v>
      </c>
      <c r="C67" s="94" t="s">
        <v>245</v>
      </c>
      <c r="D67" s="199" t="s">
        <v>246</v>
      </c>
      <c r="E67" s="199"/>
      <c r="F67" s="94" t="s">
        <v>176</v>
      </c>
      <c r="G67" s="97">
        <v>51.4</v>
      </c>
      <c r="H67" s="97">
        <v>0</v>
      </c>
    </row>
    <row r="68" spans="1:8" x14ac:dyDescent="0.3">
      <c r="A68" s="134"/>
      <c r="B68" s="134"/>
      <c r="C68" s="134"/>
      <c r="D68" s="135" t="s">
        <v>694</v>
      </c>
      <c r="E68" s="207" t="s">
        <v>695</v>
      </c>
      <c r="F68" s="207"/>
      <c r="G68" s="137">
        <v>51.4</v>
      </c>
      <c r="H68" s="134"/>
    </row>
    <row r="69" spans="1:8" ht="15" customHeight="1" x14ac:dyDescent="0.25">
      <c r="A69" s="94" t="s">
        <v>250</v>
      </c>
      <c r="B69" s="94" t="s">
        <v>103</v>
      </c>
      <c r="C69" s="94" t="s">
        <v>251</v>
      </c>
      <c r="D69" s="199" t="s">
        <v>252</v>
      </c>
      <c r="E69" s="199"/>
      <c r="F69" s="94" t="s">
        <v>155</v>
      </c>
      <c r="G69" s="97">
        <v>16.5</v>
      </c>
      <c r="H69" s="97">
        <v>0</v>
      </c>
    </row>
    <row r="70" spans="1:8" x14ac:dyDescent="0.3">
      <c r="A70" s="134"/>
      <c r="B70" s="134"/>
      <c r="C70" s="134"/>
      <c r="D70" s="135" t="s">
        <v>696</v>
      </c>
      <c r="E70" s="207"/>
      <c r="F70" s="207"/>
      <c r="G70" s="137">
        <v>16.5</v>
      </c>
      <c r="H70" s="134"/>
    </row>
    <row r="71" spans="1:8" ht="15" customHeight="1" x14ac:dyDescent="0.25">
      <c r="A71" s="94" t="s">
        <v>254</v>
      </c>
      <c r="B71" s="94" t="s">
        <v>103</v>
      </c>
      <c r="C71" s="94" t="s">
        <v>255</v>
      </c>
      <c r="D71" s="199" t="s">
        <v>256</v>
      </c>
      <c r="E71" s="199"/>
      <c r="F71" s="94" t="s">
        <v>212</v>
      </c>
      <c r="G71" s="97">
        <v>24</v>
      </c>
      <c r="H71" s="97">
        <v>0</v>
      </c>
    </row>
    <row r="72" spans="1:8" x14ac:dyDescent="0.3">
      <c r="A72" s="134"/>
      <c r="B72" s="134"/>
      <c r="C72" s="134"/>
      <c r="D72" s="135" t="s">
        <v>260</v>
      </c>
      <c r="E72" s="207"/>
      <c r="F72" s="207"/>
      <c r="G72" s="137">
        <v>24</v>
      </c>
      <c r="H72" s="134"/>
    </row>
    <row r="73" spans="1:8" ht="15" customHeight="1" x14ac:dyDescent="0.25">
      <c r="A73" s="94" t="s">
        <v>257</v>
      </c>
      <c r="B73" s="94" t="s">
        <v>103</v>
      </c>
      <c r="C73" s="94" t="s">
        <v>258</v>
      </c>
      <c r="D73" s="199" t="s">
        <v>259</v>
      </c>
      <c r="E73" s="199"/>
      <c r="F73" s="94" t="s">
        <v>212</v>
      </c>
      <c r="G73" s="97">
        <v>4</v>
      </c>
      <c r="H73" s="97">
        <v>0</v>
      </c>
    </row>
    <row r="74" spans="1:8" x14ac:dyDescent="0.3">
      <c r="A74" s="134"/>
      <c r="B74" s="134"/>
      <c r="C74" s="134"/>
      <c r="D74" s="135" t="s">
        <v>697</v>
      </c>
      <c r="E74" s="207"/>
      <c r="F74" s="207"/>
      <c r="G74" s="137">
        <v>4</v>
      </c>
      <c r="H74" s="134"/>
    </row>
    <row r="75" spans="1:8" ht="15" customHeight="1" x14ac:dyDescent="0.25">
      <c r="A75" s="94" t="s">
        <v>260</v>
      </c>
      <c r="B75" s="94" t="s">
        <v>103</v>
      </c>
      <c r="C75" s="94" t="s">
        <v>261</v>
      </c>
      <c r="D75" s="199" t="s">
        <v>262</v>
      </c>
      <c r="E75" s="199"/>
      <c r="F75" s="94" t="s">
        <v>212</v>
      </c>
      <c r="G75" s="97">
        <v>6</v>
      </c>
      <c r="H75" s="97">
        <v>0</v>
      </c>
    </row>
    <row r="76" spans="1:8" x14ac:dyDescent="0.3">
      <c r="A76" s="134"/>
      <c r="B76" s="134"/>
      <c r="C76" s="134"/>
      <c r="D76" s="135" t="s">
        <v>698</v>
      </c>
      <c r="E76" s="207"/>
      <c r="F76" s="207"/>
      <c r="G76" s="137">
        <v>6</v>
      </c>
      <c r="H76" s="134"/>
    </row>
    <row r="77" spans="1:8" ht="15" customHeight="1" x14ac:dyDescent="0.25">
      <c r="A77" s="94" t="s">
        <v>263</v>
      </c>
      <c r="B77" s="94" t="s">
        <v>103</v>
      </c>
      <c r="C77" s="94" t="s">
        <v>264</v>
      </c>
      <c r="D77" s="199" t="s">
        <v>265</v>
      </c>
      <c r="E77" s="199"/>
      <c r="F77" s="94" t="s">
        <v>212</v>
      </c>
      <c r="G77" s="97">
        <v>4</v>
      </c>
      <c r="H77" s="97">
        <v>0</v>
      </c>
    </row>
    <row r="78" spans="1:8" x14ac:dyDescent="0.3">
      <c r="A78" s="134"/>
      <c r="B78" s="134"/>
      <c r="C78" s="134"/>
      <c r="D78" s="135" t="s">
        <v>697</v>
      </c>
      <c r="E78" s="207"/>
      <c r="F78" s="207"/>
      <c r="G78" s="137">
        <v>4</v>
      </c>
      <c r="H78" s="134"/>
    </row>
    <row r="79" spans="1:8" ht="15" customHeight="1" x14ac:dyDescent="0.25">
      <c r="A79" s="94" t="s">
        <v>268</v>
      </c>
      <c r="B79" s="94" t="s">
        <v>103</v>
      </c>
      <c r="C79" s="94" t="s">
        <v>269</v>
      </c>
      <c r="D79" s="199" t="s">
        <v>270</v>
      </c>
      <c r="E79" s="199"/>
      <c r="F79" s="94" t="s">
        <v>155</v>
      </c>
      <c r="G79" s="97">
        <v>47.04</v>
      </c>
      <c r="H79" s="97">
        <v>0</v>
      </c>
    </row>
    <row r="80" spans="1:8" x14ac:dyDescent="0.3">
      <c r="A80" s="134"/>
      <c r="B80" s="134"/>
      <c r="C80" s="134"/>
      <c r="D80" s="135" t="s">
        <v>699</v>
      </c>
      <c r="E80" s="207"/>
      <c r="F80" s="207"/>
      <c r="G80" s="137">
        <v>47.04</v>
      </c>
      <c r="H80" s="134"/>
    </row>
    <row r="81" spans="1:8" ht="15" customHeight="1" x14ac:dyDescent="0.25">
      <c r="A81" s="94" t="s">
        <v>272</v>
      </c>
      <c r="B81" s="94" t="s">
        <v>103</v>
      </c>
      <c r="C81" s="94" t="s">
        <v>273</v>
      </c>
      <c r="D81" s="199" t="s">
        <v>274</v>
      </c>
      <c r="E81" s="199"/>
      <c r="F81" s="94" t="s">
        <v>155</v>
      </c>
      <c r="G81" s="97">
        <v>16.5</v>
      </c>
      <c r="H81" s="97">
        <v>0</v>
      </c>
    </row>
    <row r="82" spans="1:8" x14ac:dyDescent="0.3">
      <c r="A82" s="134"/>
      <c r="B82" s="134"/>
      <c r="C82" s="134"/>
      <c r="D82" s="135" t="s">
        <v>700</v>
      </c>
      <c r="E82" s="207"/>
      <c r="F82" s="207"/>
      <c r="G82" s="137">
        <v>16.5</v>
      </c>
      <c r="H82" s="134"/>
    </row>
    <row r="83" spans="1:8" ht="15" customHeight="1" x14ac:dyDescent="0.25">
      <c r="A83" s="94" t="s">
        <v>277</v>
      </c>
      <c r="B83" s="94" t="s">
        <v>103</v>
      </c>
      <c r="C83" s="94" t="s">
        <v>278</v>
      </c>
      <c r="D83" s="199" t="s">
        <v>279</v>
      </c>
      <c r="E83" s="199"/>
      <c r="F83" s="94" t="s">
        <v>155</v>
      </c>
      <c r="G83" s="97">
        <v>249.6</v>
      </c>
      <c r="H83" s="97">
        <v>0</v>
      </c>
    </row>
    <row r="84" spans="1:8" x14ac:dyDescent="0.3">
      <c r="A84" s="134"/>
      <c r="B84" s="134"/>
      <c r="C84" s="134"/>
      <c r="D84" s="135" t="s">
        <v>701</v>
      </c>
      <c r="E84" s="207"/>
      <c r="F84" s="207"/>
      <c r="G84" s="137">
        <v>249.6</v>
      </c>
      <c r="H84" s="134"/>
    </row>
    <row r="85" spans="1:8" ht="15" customHeight="1" x14ac:dyDescent="0.25">
      <c r="A85" s="94" t="s">
        <v>284</v>
      </c>
      <c r="B85" s="94" t="s">
        <v>103</v>
      </c>
      <c r="C85" s="94" t="s">
        <v>285</v>
      </c>
      <c r="D85" s="199" t="s">
        <v>286</v>
      </c>
      <c r="E85" s="199"/>
      <c r="F85" s="94" t="s">
        <v>287</v>
      </c>
      <c r="G85" s="97">
        <v>30</v>
      </c>
      <c r="H85" s="97">
        <v>0</v>
      </c>
    </row>
    <row r="86" spans="1:8" x14ac:dyDescent="0.3">
      <c r="A86" s="134"/>
      <c r="B86" s="134"/>
      <c r="C86" s="134"/>
      <c r="D86" s="135" t="s">
        <v>290</v>
      </c>
      <c r="E86" s="207"/>
      <c r="F86" s="207"/>
      <c r="G86" s="137">
        <v>30</v>
      </c>
      <c r="H86" s="134"/>
    </row>
    <row r="87" spans="1:8" ht="24" customHeight="1" x14ac:dyDescent="0.25">
      <c r="A87" s="94" t="s">
        <v>290</v>
      </c>
      <c r="B87" s="94" t="s">
        <v>103</v>
      </c>
      <c r="C87" s="94" t="s">
        <v>285</v>
      </c>
      <c r="D87" s="199" t="s">
        <v>291</v>
      </c>
      <c r="E87" s="199"/>
      <c r="F87" s="94" t="s">
        <v>287</v>
      </c>
      <c r="G87" s="97">
        <v>60</v>
      </c>
      <c r="H87" s="97">
        <v>0</v>
      </c>
    </row>
    <row r="88" spans="1:8" x14ac:dyDescent="0.3">
      <c r="A88" s="134"/>
      <c r="B88" s="134"/>
      <c r="C88" s="134"/>
      <c r="D88" s="135" t="s">
        <v>385</v>
      </c>
      <c r="E88" s="207"/>
      <c r="F88" s="207"/>
      <c r="G88" s="137">
        <v>60</v>
      </c>
      <c r="H88" s="134"/>
    </row>
    <row r="89" spans="1:8" ht="15" customHeight="1" x14ac:dyDescent="0.25">
      <c r="A89" s="94" t="s">
        <v>292</v>
      </c>
      <c r="B89" s="94" t="s">
        <v>103</v>
      </c>
      <c r="C89" s="94" t="s">
        <v>285</v>
      </c>
      <c r="D89" s="199" t="s">
        <v>293</v>
      </c>
      <c r="E89" s="199"/>
      <c r="F89" s="94" t="s">
        <v>287</v>
      </c>
      <c r="G89" s="97">
        <v>30</v>
      </c>
      <c r="H89" s="97">
        <v>0</v>
      </c>
    </row>
    <row r="90" spans="1:8" x14ac:dyDescent="0.3">
      <c r="A90" s="134"/>
      <c r="B90" s="134"/>
      <c r="C90" s="134"/>
      <c r="D90" s="135" t="s">
        <v>290</v>
      </c>
      <c r="E90" s="207"/>
      <c r="F90" s="207"/>
      <c r="G90" s="137">
        <v>30</v>
      </c>
      <c r="H90" s="134"/>
    </row>
    <row r="91" spans="1:8" ht="15" customHeight="1" x14ac:dyDescent="0.25">
      <c r="A91" s="94" t="s">
        <v>294</v>
      </c>
      <c r="B91" s="94" t="s">
        <v>103</v>
      </c>
      <c r="C91" s="94" t="s">
        <v>285</v>
      </c>
      <c r="D91" s="199" t="s">
        <v>295</v>
      </c>
      <c r="E91" s="199"/>
      <c r="F91" s="94" t="s">
        <v>287</v>
      </c>
      <c r="G91" s="97">
        <v>30</v>
      </c>
      <c r="H91" s="97">
        <v>0</v>
      </c>
    </row>
    <row r="92" spans="1:8" x14ac:dyDescent="0.3">
      <c r="A92" s="134"/>
      <c r="B92" s="134"/>
      <c r="C92" s="134"/>
      <c r="D92" s="135" t="s">
        <v>290</v>
      </c>
      <c r="E92" s="207"/>
      <c r="F92" s="207"/>
      <c r="G92" s="137">
        <v>30</v>
      </c>
      <c r="H92" s="134"/>
    </row>
    <row r="93" spans="1:8" ht="24" customHeight="1" x14ac:dyDescent="0.25">
      <c r="A93" s="94" t="s">
        <v>296</v>
      </c>
      <c r="B93" s="94" t="s">
        <v>103</v>
      </c>
      <c r="C93" s="94" t="s">
        <v>297</v>
      </c>
      <c r="D93" s="199" t="s">
        <v>298</v>
      </c>
      <c r="E93" s="199"/>
      <c r="F93" s="94" t="s">
        <v>287</v>
      </c>
      <c r="G93" s="97">
        <v>55</v>
      </c>
      <c r="H93" s="97">
        <v>0</v>
      </c>
    </row>
    <row r="94" spans="1:8" x14ac:dyDescent="0.3">
      <c r="A94" s="134"/>
      <c r="B94" s="134"/>
      <c r="C94" s="134"/>
      <c r="D94" s="135" t="s">
        <v>367</v>
      </c>
      <c r="E94" s="207"/>
      <c r="F94" s="207"/>
      <c r="G94" s="137">
        <v>55</v>
      </c>
      <c r="H94" s="134"/>
    </row>
    <row r="95" spans="1:8" ht="24" customHeight="1" x14ac:dyDescent="0.25">
      <c r="A95" s="94" t="s">
        <v>299</v>
      </c>
      <c r="B95" s="94" t="s">
        <v>103</v>
      </c>
      <c r="C95" s="94" t="s">
        <v>297</v>
      </c>
      <c r="D95" s="199" t="s">
        <v>300</v>
      </c>
      <c r="E95" s="199"/>
      <c r="F95" s="94" t="s">
        <v>287</v>
      </c>
      <c r="G95" s="97">
        <v>40</v>
      </c>
      <c r="H95" s="97">
        <v>0</v>
      </c>
    </row>
    <row r="96" spans="1:8" x14ac:dyDescent="0.3">
      <c r="A96" s="134"/>
      <c r="B96" s="134"/>
      <c r="C96" s="134"/>
      <c r="D96" s="135" t="s">
        <v>317</v>
      </c>
      <c r="E96" s="207"/>
      <c r="F96" s="207"/>
      <c r="G96" s="137">
        <v>40</v>
      </c>
      <c r="H96" s="134"/>
    </row>
    <row r="97" spans="1:8" ht="15" customHeight="1" x14ac:dyDescent="0.25">
      <c r="A97" s="94" t="s">
        <v>301</v>
      </c>
      <c r="B97" s="94" t="s">
        <v>103</v>
      </c>
      <c r="C97" s="94" t="s">
        <v>285</v>
      </c>
      <c r="D97" s="199" t="s">
        <v>302</v>
      </c>
      <c r="E97" s="199"/>
      <c r="F97" s="94" t="s">
        <v>287</v>
      </c>
      <c r="G97" s="97">
        <v>30</v>
      </c>
      <c r="H97" s="97">
        <v>0</v>
      </c>
    </row>
    <row r="98" spans="1:8" x14ac:dyDescent="0.3">
      <c r="A98" s="134"/>
      <c r="B98" s="134"/>
      <c r="C98" s="134"/>
      <c r="D98" s="135" t="s">
        <v>290</v>
      </c>
      <c r="E98" s="207"/>
      <c r="F98" s="207"/>
      <c r="G98" s="137">
        <v>30</v>
      </c>
      <c r="H98" s="134"/>
    </row>
    <row r="99" spans="1:8" ht="24" customHeight="1" x14ac:dyDescent="0.25">
      <c r="A99" s="94" t="s">
        <v>303</v>
      </c>
      <c r="B99" s="94" t="s">
        <v>103</v>
      </c>
      <c r="C99" s="94" t="s">
        <v>285</v>
      </c>
      <c r="D99" s="199" t="s">
        <v>304</v>
      </c>
      <c r="E99" s="199"/>
      <c r="F99" s="94" t="s">
        <v>287</v>
      </c>
      <c r="G99" s="97">
        <v>10</v>
      </c>
      <c r="H99" s="97">
        <v>0</v>
      </c>
    </row>
    <row r="100" spans="1:8" x14ac:dyDescent="0.3">
      <c r="A100" s="134"/>
      <c r="B100" s="134"/>
      <c r="C100" s="134"/>
      <c r="D100" s="135" t="s">
        <v>200</v>
      </c>
      <c r="E100" s="207"/>
      <c r="F100" s="207"/>
      <c r="G100" s="137">
        <v>10</v>
      </c>
      <c r="H100" s="134"/>
    </row>
    <row r="101" spans="1:8" ht="15" customHeight="1" x14ac:dyDescent="0.25">
      <c r="A101" s="94" t="s">
        <v>307</v>
      </c>
      <c r="B101" s="94" t="s">
        <v>103</v>
      </c>
      <c r="C101" s="94" t="s">
        <v>308</v>
      </c>
      <c r="D101" s="199" t="s">
        <v>309</v>
      </c>
      <c r="E101" s="199"/>
      <c r="F101" s="94" t="s">
        <v>176</v>
      </c>
      <c r="G101" s="97">
        <v>50.4</v>
      </c>
      <c r="H101" s="97">
        <v>0</v>
      </c>
    </row>
    <row r="102" spans="1:8" x14ac:dyDescent="0.3">
      <c r="A102" s="134"/>
      <c r="B102" s="134"/>
      <c r="C102" s="134"/>
      <c r="D102" s="135" t="s">
        <v>702</v>
      </c>
      <c r="E102" s="207"/>
      <c r="F102" s="207"/>
      <c r="G102" s="137">
        <v>50.4</v>
      </c>
      <c r="H102" s="134"/>
    </row>
    <row r="103" spans="1:8" ht="15" customHeight="1" x14ac:dyDescent="0.25">
      <c r="A103" s="94" t="s">
        <v>311</v>
      </c>
      <c r="B103" s="94" t="s">
        <v>103</v>
      </c>
      <c r="C103" s="94" t="s">
        <v>312</v>
      </c>
      <c r="D103" s="199" t="s">
        <v>313</v>
      </c>
      <c r="E103" s="199"/>
      <c r="F103" s="94" t="s">
        <v>155</v>
      </c>
      <c r="G103" s="97">
        <v>50.4</v>
      </c>
      <c r="H103" s="97">
        <v>0</v>
      </c>
    </row>
    <row r="104" spans="1:8" x14ac:dyDescent="0.3">
      <c r="A104" s="134"/>
      <c r="B104" s="134"/>
      <c r="C104" s="134"/>
      <c r="D104" s="135" t="s">
        <v>703</v>
      </c>
      <c r="E104" s="207"/>
      <c r="F104" s="207"/>
      <c r="G104" s="137">
        <v>50.4</v>
      </c>
      <c r="H104" s="134"/>
    </row>
    <row r="105" spans="1:8" ht="24" customHeight="1" x14ac:dyDescent="0.25">
      <c r="A105" s="94" t="s">
        <v>314</v>
      </c>
      <c r="B105" s="94" t="s">
        <v>103</v>
      </c>
      <c r="C105" s="94" t="s">
        <v>315</v>
      </c>
      <c r="D105" s="199" t="s">
        <v>316</v>
      </c>
      <c r="E105" s="199"/>
      <c r="F105" s="94" t="s">
        <v>155</v>
      </c>
      <c r="G105" s="97">
        <v>50.4</v>
      </c>
      <c r="H105" s="97">
        <v>0</v>
      </c>
    </row>
    <row r="106" spans="1:8" x14ac:dyDescent="0.3">
      <c r="A106" s="134"/>
      <c r="B106" s="134"/>
      <c r="C106" s="134"/>
      <c r="D106" s="135" t="s">
        <v>703</v>
      </c>
      <c r="E106" s="207"/>
      <c r="F106" s="207"/>
      <c r="G106" s="137">
        <v>50.4</v>
      </c>
      <c r="H106" s="134"/>
    </row>
    <row r="107" spans="1:8" ht="15" customHeight="1" x14ac:dyDescent="0.25">
      <c r="A107" s="94" t="s">
        <v>317</v>
      </c>
      <c r="B107" s="94" t="s">
        <v>103</v>
      </c>
      <c r="C107" s="94" t="s">
        <v>318</v>
      </c>
      <c r="D107" s="199" t="s">
        <v>319</v>
      </c>
      <c r="E107" s="199"/>
      <c r="F107" s="94" t="s">
        <v>155</v>
      </c>
      <c r="G107" s="97">
        <v>50.4</v>
      </c>
      <c r="H107" s="97">
        <v>0</v>
      </c>
    </row>
    <row r="108" spans="1:8" x14ac:dyDescent="0.3">
      <c r="A108" s="134"/>
      <c r="B108" s="134"/>
      <c r="C108" s="134"/>
      <c r="D108" s="135" t="s">
        <v>703</v>
      </c>
      <c r="E108" s="207"/>
      <c r="F108" s="207"/>
      <c r="G108" s="137">
        <v>50.4</v>
      </c>
      <c r="H108" s="134"/>
    </row>
    <row r="109" spans="1:8" ht="15" customHeight="1" x14ac:dyDescent="0.25">
      <c r="A109" s="94" t="s">
        <v>320</v>
      </c>
      <c r="B109" s="94" t="s">
        <v>103</v>
      </c>
      <c r="C109" s="94" t="s">
        <v>321</v>
      </c>
      <c r="D109" s="199" t="s">
        <v>322</v>
      </c>
      <c r="E109" s="199"/>
      <c r="F109" s="94" t="s">
        <v>323</v>
      </c>
      <c r="G109" s="97">
        <v>0.71399999999999997</v>
      </c>
      <c r="H109" s="97">
        <v>0</v>
      </c>
    </row>
    <row r="110" spans="1:8" x14ac:dyDescent="0.3">
      <c r="A110" s="134"/>
      <c r="B110" s="134"/>
      <c r="C110" s="134"/>
      <c r="D110" s="135" t="s">
        <v>704</v>
      </c>
      <c r="E110" s="207"/>
      <c r="F110" s="207"/>
      <c r="G110" s="137">
        <v>0.71399999999999997</v>
      </c>
      <c r="H110" s="134"/>
    </row>
    <row r="111" spans="1:8" ht="15" customHeight="1" x14ac:dyDescent="0.25">
      <c r="A111" s="94" t="s">
        <v>326</v>
      </c>
      <c r="B111" s="94" t="s">
        <v>103</v>
      </c>
      <c r="C111" s="94" t="s">
        <v>327</v>
      </c>
      <c r="D111" s="199" t="s">
        <v>328</v>
      </c>
      <c r="E111" s="199"/>
      <c r="F111" s="94" t="s">
        <v>212</v>
      </c>
      <c r="G111" s="97">
        <v>10</v>
      </c>
      <c r="H111" s="97">
        <v>0</v>
      </c>
    </row>
    <row r="112" spans="1:8" x14ac:dyDescent="0.3">
      <c r="A112" s="134"/>
      <c r="B112" s="134"/>
      <c r="C112" s="134"/>
      <c r="D112" s="135" t="s">
        <v>705</v>
      </c>
      <c r="E112" s="207" t="s">
        <v>706</v>
      </c>
      <c r="F112" s="207"/>
      <c r="G112" s="137">
        <v>10</v>
      </c>
      <c r="H112" s="134"/>
    </row>
    <row r="113" spans="1:8" ht="15" customHeight="1" x14ac:dyDescent="0.25">
      <c r="A113" s="94" t="s">
        <v>330</v>
      </c>
      <c r="B113" s="94" t="s">
        <v>103</v>
      </c>
      <c r="C113" s="94" t="s">
        <v>331</v>
      </c>
      <c r="D113" s="199" t="s">
        <v>332</v>
      </c>
      <c r="E113" s="199"/>
      <c r="F113" s="94" t="s">
        <v>212</v>
      </c>
      <c r="G113" s="97">
        <v>22</v>
      </c>
      <c r="H113" s="97">
        <v>0</v>
      </c>
    </row>
    <row r="114" spans="1:8" x14ac:dyDescent="0.3">
      <c r="A114" s="134"/>
      <c r="B114" s="134"/>
      <c r="C114" s="134"/>
      <c r="D114" s="135" t="s">
        <v>707</v>
      </c>
      <c r="E114" s="207"/>
      <c r="F114" s="207"/>
      <c r="G114" s="137">
        <v>22</v>
      </c>
      <c r="H114" s="134"/>
    </row>
    <row r="115" spans="1:8" ht="15" customHeight="1" x14ac:dyDescent="0.25">
      <c r="A115" s="94" t="s">
        <v>333</v>
      </c>
      <c r="B115" s="94" t="s">
        <v>103</v>
      </c>
      <c r="C115" s="94" t="s">
        <v>334</v>
      </c>
      <c r="D115" s="199" t="s">
        <v>335</v>
      </c>
      <c r="E115" s="199"/>
      <c r="F115" s="94" t="s">
        <v>155</v>
      </c>
      <c r="G115" s="97">
        <v>27.82</v>
      </c>
      <c r="H115" s="97">
        <v>0</v>
      </c>
    </row>
    <row r="116" spans="1:8" x14ac:dyDescent="0.3">
      <c r="A116" s="134"/>
      <c r="B116" s="134"/>
      <c r="C116" s="134"/>
      <c r="D116" s="135" t="s">
        <v>708</v>
      </c>
      <c r="E116" s="207" t="s">
        <v>709</v>
      </c>
      <c r="F116" s="207"/>
      <c r="G116" s="137">
        <v>11.82</v>
      </c>
      <c r="H116" s="134"/>
    </row>
    <row r="117" spans="1:8" ht="13.2" x14ac:dyDescent="0.25">
      <c r="A117" s="94"/>
      <c r="B117" s="94"/>
      <c r="C117" s="94"/>
      <c r="D117" s="135" t="s">
        <v>710</v>
      </c>
      <c r="E117" s="207" t="s">
        <v>711</v>
      </c>
      <c r="F117" s="207"/>
      <c r="G117" s="137">
        <v>16</v>
      </c>
      <c r="H117" s="99"/>
    </row>
    <row r="118" spans="1:8" ht="15" customHeight="1" x14ac:dyDescent="0.25">
      <c r="A118" s="94" t="s">
        <v>336</v>
      </c>
      <c r="B118" s="94" t="s">
        <v>103</v>
      </c>
      <c r="C118" s="94" t="s">
        <v>337</v>
      </c>
      <c r="D118" s="199" t="s">
        <v>338</v>
      </c>
      <c r="E118" s="199"/>
      <c r="F118" s="94" t="s">
        <v>212</v>
      </c>
      <c r="G118" s="97">
        <v>24</v>
      </c>
      <c r="H118" s="97">
        <v>0</v>
      </c>
    </row>
    <row r="119" spans="1:8" x14ac:dyDescent="0.3">
      <c r="A119" s="134"/>
      <c r="B119" s="134"/>
      <c r="C119" s="134"/>
      <c r="D119" s="135" t="s">
        <v>712</v>
      </c>
      <c r="E119" s="207" t="s">
        <v>709</v>
      </c>
      <c r="F119" s="207"/>
      <c r="G119" s="137">
        <v>8</v>
      </c>
      <c r="H119" s="134"/>
    </row>
    <row r="120" spans="1:8" ht="13.2" x14ac:dyDescent="0.25">
      <c r="A120" s="94"/>
      <c r="B120" s="94"/>
      <c r="C120" s="94"/>
      <c r="D120" s="135" t="s">
        <v>710</v>
      </c>
      <c r="E120" s="207" t="s">
        <v>713</v>
      </c>
      <c r="F120" s="207"/>
      <c r="G120" s="137">
        <v>16</v>
      </c>
      <c r="H120" s="99"/>
    </row>
    <row r="121" spans="1:8" ht="15" customHeight="1" x14ac:dyDescent="0.25">
      <c r="A121" s="94" t="s">
        <v>339</v>
      </c>
      <c r="B121" s="94" t="s">
        <v>103</v>
      </c>
      <c r="C121" s="94" t="s">
        <v>340</v>
      </c>
      <c r="D121" s="199" t="s">
        <v>341</v>
      </c>
      <c r="E121" s="199"/>
      <c r="F121" s="94" t="s">
        <v>155</v>
      </c>
      <c r="G121" s="97">
        <v>24</v>
      </c>
      <c r="H121" s="97">
        <v>0</v>
      </c>
    </row>
    <row r="122" spans="1:8" x14ac:dyDescent="0.3">
      <c r="A122" s="134"/>
      <c r="B122" s="134"/>
      <c r="C122" s="134"/>
      <c r="D122" s="135" t="s">
        <v>714</v>
      </c>
      <c r="E122" s="207"/>
      <c r="F122" s="207"/>
      <c r="G122" s="137">
        <v>24</v>
      </c>
      <c r="H122" s="134"/>
    </row>
    <row r="123" spans="1:8" ht="15" customHeight="1" x14ac:dyDescent="0.25">
      <c r="A123" s="94" t="s">
        <v>342</v>
      </c>
      <c r="B123" s="94" t="s">
        <v>103</v>
      </c>
      <c r="C123" s="94" t="s">
        <v>343</v>
      </c>
      <c r="D123" s="199" t="s">
        <v>344</v>
      </c>
      <c r="E123" s="199"/>
      <c r="F123" s="94" t="s">
        <v>155</v>
      </c>
      <c r="G123" s="97">
        <v>32.64</v>
      </c>
      <c r="H123" s="97">
        <v>0</v>
      </c>
    </row>
    <row r="124" spans="1:8" x14ac:dyDescent="0.3">
      <c r="A124" s="134"/>
      <c r="B124" s="134"/>
      <c r="C124" s="134"/>
      <c r="D124" s="135" t="s">
        <v>715</v>
      </c>
      <c r="E124" s="207"/>
      <c r="F124" s="207"/>
      <c r="G124" s="137">
        <v>32.64</v>
      </c>
      <c r="H124" s="134"/>
    </row>
    <row r="125" spans="1:8" ht="15" customHeight="1" x14ac:dyDescent="0.25">
      <c r="A125" s="94" t="s">
        <v>345</v>
      </c>
      <c r="B125" s="94" t="s">
        <v>103</v>
      </c>
      <c r="C125" s="94" t="s">
        <v>346</v>
      </c>
      <c r="D125" s="199" t="s">
        <v>347</v>
      </c>
      <c r="E125" s="199"/>
      <c r="F125" s="94" t="s">
        <v>212</v>
      </c>
      <c r="G125" s="97">
        <v>4</v>
      </c>
      <c r="H125" s="97">
        <v>0</v>
      </c>
    </row>
    <row r="126" spans="1:8" x14ac:dyDescent="0.3">
      <c r="A126" s="134"/>
      <c r="B126" s="134"/>
      <c r="C126" s="134"/>
      <c r="D126" s="135" t="s">
        <v>697</v>
      </c>
      <c r="E126" s="207" t="s">
        <v>709</v>
      </c>
      <c r="F126" s="207"/>
      <c r="G126" s="137">
        <v>4</v>
      </c>
      <c r="H126" s="134"/>
    </row>
    <row r="127" spans="1:8" ht="15" customHeight="1" x14ac:dyDescent="0.25">
      <c r="A127" s="94" t="s">
        <v>348</v>
      </c>
      <c r="B127" s="94" t="s">
        <v>103</v>
      </c>
      <c r="C127" s="94" t="s">
        <v>349</v>
      </c>
      <c r="D127" s="199" t="s">
        <v>350</v>
      </c>
      <c r="E127" s="199"/>
      <c r="F127" s="94" t="s">
        <v>155</v>
      </c>
      <c r="G127" s="97">
        <v>6.0819999999999999</v>
      </c>
      <c r="H127" s="97">
        <v>0</v>
      </c>
    </row>
    <row r="128" spans="1:8" x14ac:dyDescent="0.3">
      <c r="A128" s="134"/>
      <c r="B128" s="134"/>
      <c r="C128" s="134"/>
      <c r="D128" s="135" t="s">
        <v>716</v>
      </c>
      <c r="E128" s="207" t="s">
        <v>709</v>
      </c>
      <c r="F128" s="207"/>
      <c r="G128" s="137">
        <v>6.0819999999999999</v>
      </c>
      <c r="H128" s="134"/>
    </row>
    <row r="129" spans="1:8" ht="15" customHeight="1" x14ac:dyDescent="0.25">
      <c r="A129" s="94" t="s">
        <v>351</v>
      </c>
      <c r="B129" s="94" t="s">
        <v>103</v>
      </c>
      <c r="C129" s="94" t="s">
        <v>352</v>
      </c>
      <c r="D129" s="199" t="s">
        <v>353</v>
      </c>
      <c r="E129" s="199"/>
      <c r="F129" s="94" t="s">
        <v>155</v>
      </c>
      <c r="G129" s="97">
        <v>2.4</v>
      </c>
      <c r="H129" s="97">
        <v>0</v>
      </c>
    </row>
    <row r="130" spans="1:8" x14ac:dyDescent="0.3">
      <c r="A130" s="134"/>
      <c r="B130" s="134"/>
      <c r="C130" s="134"/>
      <c r="D130" s="135" t="s">
        <v>717</v>
      </c>
      <c r="E130" s="207" t="s">
        <v>709</v>
      </c>
      <c r="F130" s="207"/>
      <c r="G130" s="137">
        <v>2.4</v>
      </c>
      <c r="H130" s="134"/>
    </row>
    <row r="131" spans="1:8" ht="15" customHeight="1" x14ac:dyDescent="0.25">
      <c r="A131" s="94" t="s">
        <v>354</v>
      </c>
      <c r="B131" s="94" t="s">
        <v>103</v>
      </c>
      <c r="C131" s="94" t="s">
        <v>355</v>
      </c>
      <c r="D131" s="199" t="s">
        <v>356</v>
      </c>
      <c r="E131" s="199"/>
      <c r="F131" s="94" t="s">
        <v>212</v>
      </c>
      <c r="G131" s="97">
        <v>6</v>
      </c>
      <c r="H131" s="97">
        <v>0</v>
      </c>
    </row>
    <row r="132" spans="1:8" x14ac:dyDescent="0.3">
      <c r="A132" s="134"/>
      <c r="B132" s="134"/>
      <c r="C132" s="134"/>
      <c r="D132" s="135" t="s">
        <v>182</v>
      </c>
      <c r="E132" s="207"/>
      <c r="F132" s="207"/>
      <c r="G132" s="137">
        <v>6</v>
      </c>
      <c r="H132" s="134"/>
    </row>
    <row r="133" spans="1:8" ht="15" customHeight="1" x14ac:dyDescent="0.25">
      <c r="A133" s="94" t="s">
        <v>357</v>
      </c>
      <c r="B133" s="94" t="s">
        <v>103</v>
      </c>
      <c r="C133" s="94" t="s">
        <v>358</v>
      </c>
      <c r="D133" s="199" t="s">
        <v>359</v>
      </c>
      <c r="E133" s="199"/>
      <c r="F133" s="94" t="s">
        <v>176</v>
      </c>
      <c r="G133" s="97">
        <v>33.6</v>
      </c>
      <c r="H133" s="97">
        <v>0</v>
      </c>
    </row>
    <row r="134" spans="1:8" x14ac:dyDescent="0.3">
      <c r="A134" s="134"/>
      <c r="B134" s="134"/>
      <c r="C134" s="134"/>
      <c r="D134" s="135" t="s">
        <v>718</v>
      </c>
      <c r="E134" s="207"/>
      <c r="F134" s="207"/>
      <c r="G134" s="137">
        <v>33.6</v>
      </c>
      <c r="H134" s="134"/>
    </row>
    <row r="135" spans="1:8" ht="15" customHeight="1" x14ac:dyDescent="0.25">
      <c r="A135" s="94" t="s">
        <v>360</v>
      </c>
      <c r="B135" s="94" t="s">
        <v>103</v>
      </c>
      <c r="C135" s="94" t="s">
        <v>361</v>
      </c>
      <c r="D135" s="199" t="s">
        <v>362</v>
      </c>
      <c r="E135" s="199"/>
      <c r="F135" s="94" t="s">
        <v>155</v>
      </c>
      <c r="G135" s="97">
        <v>15.984</v>
      </c>
      <c r="H135" s="97">
        <v>0</v>
      </c>
    </row>
    <row r="136" spans="1:8" x14ac:dyDescent="0.3">
      <c r="A136" s="134"/>
      <c r="B136" s="134"/>
      <c r="C136" s="134"/>
      <c r="D136" s="135" t="s">
        <v>719</v>
      </c>
      <c r="E136" s="207" t="s">
        <v>709</v>
      </c>
      <c r="F136" s="207"/>
      <c r="G136" s="137">
        <v>15.984</v>
      </c>
      <c r="H136" s="134"/>
    </row>
    <row r="137" spans="1:8" ht="15" customHeight="1" x14ac:dyDescent="0.25">
      <c r="A137" s="94" t="s">
        <v>363</v>
      </c>
      <c r="B137" s="94" t="s">
        <v>103</v>
      </c>
      <c r="C137" s="94" t="s">
        <v>364</v>
      </c>
      <c r="D137" s="199" t="s">
        <v>365</v>
      </c>
      <c r="E137" s="199"/>
      <c r="F137" s="94" t="s">
        <v>366</v>
      </c>
      <c r="G137" s="97">
        <v>5.94</v>
      </c>
      <c r="H137" s="97">
        <v>0</v>
      </c>
    </row>
    <row r="138" spans="1:8" x14ac:dyDescent="0.3">
      <c r="A138" s="134"/>
      <c r="B138" s="134"/>
      <c r="C138" s="134"/>
      <c r="D138" s="135" t="s">
        <v>720</v>
      </c>
      <c r="E138" s="207" t="s">
        <v>721</v>
      </c>
      <c r="F138" s="207"/>
      <c r="G138" s="137">
        <v>5.94</v>
      </c>
      <c r="H138" s="134"/>
    </row>
    <row r="139" spans="1:8" ht="15" customHeight="1" x14ac:dyDescent="0.25">
      <c r="A139" s="94" t="s">
        <v>367</v>
      </c>
      <c r="B139" s="94" t="s">
        <v>103</v>
      </c>
      <c r="C139" s="94" t="s">
        <v>368</v>
      </c>
      <c r="D139" s="199" t="s">
        <v>369</v>
      </c>
      <c r="E139" s="199"/>
      <c r="F139" s="94" t="s">
        <v>366</v>
      </c>
      <c r="G139" s="97">
        <v>16.605</v>
      </c>
      <c r="H139" s="97">
        <v>0</v>
      </c>
    </row>
    <row r="140" spans="1:8" x14ac:dyDescent="0.3">
      <c r="A140" s="134"/>
      <c r="B140" s="134"/>
      <c r="C140" s="134"/>
      <c r="D140" s="135" t="s">
        <v>722</v>
      </c>
      <c r="E140" s="207"/>
      <c r="F140" s="207"/>
      <c r="G140" s="137">
        <v>16.605</v>
      </c>
      <c r="H140" s="134"/>
    </row>
    <row r="141" spans="1:8" ht="15" customHeight="1" x14ac:dyDescent="0.25">
      <c r="A141" s="94" t="s">
        <v>370</v>
      </c>
      <c r="B141" s="94" t="s">
        <v>103</v>
      </c>
      <c r="C141" s="94" t="s">
        <v>371</v>
      </c>
      <c r="D141" s="199" t="s">
        <v>372</v>
      </c>
      <c r="E141" s="199"/>
      <c r="F141" s="94" t="s">
        <v>366</v>
      </c>
      <c r="G141" s="97">
        <v>71.153999999999996</v>
      </c>
      <c r="H141" s="97">
        <v>0</v>
      </c>
    </row>
    <row r="142" spans="1:8" x14ac:dyDescent="0.3">
      <c r="A142" s="134"/>
      <c r="B142" s="134"/>
      <c r="C142" s="134"/>
      <c r="D142" s="135" t="s">
        <v>723</v>
      </c>
      <c r="E142" s="207" t="s">
        <v>724</v>
      </c>
      <c r="F142" s="207"/>
      <c r="G142" s="137">
        <v>71.153999999999996</v>
      </c>
      <c r="H142" s="134"/>
    </row>
    <row r="143" spans="1:8" ht="15" customHeight="1" x14ac:dyDescent="0.25">
      <c r="A143" s="94" t="s">
        <v>373</v>
      </c>
      <c r="B143" s="94" t="s">
        <v>103</v>
      </c>
      <c r="C143" s="94" t="s">
        <v>374</v>
      </c>
      <c r="D143" s="199" t="s">
        <v>375</v>
      </c>
      <c r="E143" s="199"/>
      <c r="F143" s="94" t="s">
        <v>366</v>
      </c>
      <c r="G143" s="97">
        <v>26.01</v>
      </c>
      <c r="H143" s="97">
        <v>0</v>
      </c>
    </row>
    <row r="144" spans="1:8" x14ac:dyDescent="0.3">
      <c r="A144" s="134"/>
      <c r="B144" s="134"/>
      <c r="C144" s="134"/>
      <c r="D144" s="135" t="s">
        <v>725</v>
      </c>
      <c r="E144" s="207" t="s">
        <v>726</v>
      </c>
      <c r="F144" s="207"/>
      <c r="G144" s="137">
        <v>26.01</v>
      </c>
      <c r="H144" s="134"/>
    </row>
    <row r="145" spans="1:8" ht="15" customHeight="1" x14ac:dyDescent="0.25">
      <c r="A145" s="94" t="s">
        <v>378</v>
      </c>
      <c r="B145" s="94" t="s">
        <v>103</v>
      </c>
      <c r="C145" s="94" t="s">
        <v>379</v>
      </c>
      <c r="D145" s="199" t="s">
        <v>380</v>
      </c>
      <c r="E145" s="199"/>
      <c r="F145" s="94" t="s">
        <v>176</v>
      </c>
      <c r="G145" s="97">
        <v>38.200000000000003</v>
      </c>
      <c r="H145" s="97">
        <v>0</v>
      </c>
    </row>
    <row r="146" spans="1:8" x14ac:dyDescent="0.3">
      <c r="A146" s="134"/>
      <c r="B146" s="134"/>
      <c r="C146" s="134"/>
      <c r="D146" s="135" t="s">
        <v>727</v>
      </c>
      <c r="E146" s="207" t="s">
        <v>728</v>
      </c>
      <c r="F146" s="207"/>
      <c r="G146" s="137">
        <v>18.2</v>
      </c>
      <c r="H146" s="134"/>
    </row>
    <row r="147" spans="1:8" ht="13.2" x14ac:dyDescent="0.25">
      <c r="A147" s="94"/>
      <c r="B147" s="94"/>
      <c r="C147" s="94"/>
      <c r="D147" s="135" t="s">
        <v>729</v>
      </c>
      <c r="E147" s="207" t="s">
        <v>730</v>
      </c>
      <c r="F147" s="207"/>
      <c r="G147" s="137">
        <v>20</v>
      </c>
      <c r="H147" s="99"/>
    </row>
    <row r="148" spans="1:8" ht="15" customHeight="1" x14ac:dyDescent="0.25">
      <c r="A148" s="94" t="s">
        <v>382</v>
      </c>
      <c r="B148" s="94" t="s">
        <v>103</v>
      </c>
      <c r="C148" s="94" t="s">
        <v>383</v>
      </c>
      <c r="D148" s="199" t="s">
        <v>384</v>
      </c>
      <c r="E148" s="199"/>
      <c r="F148" s="94" t="s">
        <v>176</v>
      </c>
      <c r="G148" s="97">
        <v>2</v>
      </c>
      <c r="H148" s="97">
        <v>0</v>
      </c>
    </row>
    <row r="149" spans="1:8" x14ac:dyDescent="0.3">
      <c r="A149" s="134"/>
      <c r="B149" s="134"/>
      <c r="C149" s="134"/>
      <c r="D149" s="135" t="s">
        <v>162</v>
      </c>
      <c r="E149" s="207"/>
      <c r="F149" s="207"/>
      <c r="G149" s="137">
        <v>2</v>
      </c>
      <c r="H149" s="134"/>
    </row>
    <row r="150" spans="1:8" ht="15" customHeight="1" x14ac:dyDescent="0.25">
      <c r="A150" s="94" t="s">
        <v>385</v>
      </c>
      <c r="B150" s="94" t="s">
        <v>103</v>
      </c>
      <c r="C150" s="94" t="s">
        <v>386</v>
      </c>
      <c r="D150" s="199" t="s">
        <v>387</v>
      </c>
      <c r="E150" s="199"/>
      <c r="F150" s="94" t="s">
        <v>212</v>
      </c>
      <c r="G150" s="97">
        <v>5</v>
      </c>
      <c r="H150" s="97">
        <v>0</v>
      </c>
    </row>
    <row r="151" spans="1:8" x14ac:dyDescent="0.3">
      <c r="A151" s="134"/>
      <c r="B151" s="134"/>
      <c r="C151" s="134"/>
      <c r="D151" s="135" t="s">
        <v>179</v>
      </c>
      <c r="E151" s="207"/>
      <c r="F151" s="207"/>
      <c r="G151" s="137">
        <v>5</v>
      </c>
      <c r="H151" s="134"/>
    </row>
    <row r="152" spans="1:8" ht="15" customHeight="1" x14ac:dyDescent="0.25">
      <c r="A152" s="94" t="s">
        <v>390</v>
      </c>
      <c r="B152" s="94" t="s">
        <v>103</v>
      </c>
      <c r="C152" s="94" t="s">
        <v>391</v>
      </c>
      <c r="D152" s="199" t="s">
        <v>392</v>
      </c>
      <c r="E152" s="199"/>
      <c r="F152" s="94" t="s">
        <v>366</v>
      </c>
      <c r="G152" s="97">
        <v>120.14</v>
      </c>
      <c r="H152" s="97">
        <v>0</v>
      </c>
    </row>
    <row r="153" spans="1:8" x14ac:dyDescent="0.3">
      <c r="A153" s="134"/>
      <c r="B153" s="134"/>
      <c r="C153" s="134"/>
      <c r="D153" s="135" t="s">
        <v>731</v>
      </c>
      <c r="E153" s="207" t="s">
        <v>732</v>
      </c>
      <c r="F153" s="207"/>
      <c r="G153" s="137">
        <v>125.765</v>
      </c>
      <c r="H153" s="134"/>
    </row>
    <row r="154" spans="1:8" ht="13.2" x14ac:dyDescent="0.25">
      <c r="A154" s="94"/>
      <c r="B154" s="94"/>
      <c r="C154" s="94"/>
      <c r="D154" s="135" t="s">
        <v>733</v>
      </c>
      <c r="E154" s="207" t="s">
        <v>734</v>
      </c>
      <c r="F154" s="207"/>
      <c r="G154" s="137">
        <v>-5.625</v>
      </c>
      <c r="H154" s="99"/>
    </row>
    <row r="155" spans="1:8" ht="15" customHeight="1" x14ac:dyDescent="0.25">
      <c r="A155" s="94" t="s">
        <v>394</v>
      </c>
      <c r="B155" s="94" t="s">
        <v>103</v>
      </c>
      <c r="C155" s="94" t="s">
        <v>391</v>
      </c>
      <c r="D155" s="199" t="s">
        <v>395</v>
      </c>
      <c r="E155" s="199"/>
      <c r="F155" s="94" t="s">
        <v>366</v>
      </c>
      <c r="G155" s="97">
        <v>47.097999999999999</v>
      </c>
      <c r="H155" s="97">
        <v>0</v>
      </c>
    </row>
    <row r="156" spans="1:8" x14ac:dyDescent="0.3">
      <c r="A156" s="134"/>
      <c r="B156" s="134"/>
      <c r="C156" s="134"/>
      <c r="D156" s="135" t="s">
        <v>735</v>
      </c>
      <c r="E156" s="207" t="s">
        <v>736</v>
      </c>
      <c r="F156" s="207"/>
      <c r="G156" s="137">
        <v>11.18</v>
      </c>
      <c r="H156" s="134"/>
    </row>
    <row r="157" spans="1:8" ht="13.2" x14ac:dyDescent="0.25">
      <c r="A157" s="94"/>
      <c r="B157" s="94"/>
      <c r="C157" s="94"/>
      <c r="D157" s="135" t="s">
        <v>737</v>
      </c>
      <c r="E157" s="207"/>
      <c r="F157" s="207"/>
      <c r="G157" s="137">
        <v>1.0940000000000001</v>
      </c>
      <c r="H157" s="99"/>
    </row>
    <row r="158" spans="1:8" ht="13.2" x14ac:dyDescent="0.25">
      <c r="A158" s="94"/>
      <c r="B158" s="94"/>
      <c r="C158" s="94"/>
      <c r="D158" s="135" t="s">
        <v>738</v>
      </c>
      <c r="E158" s="207"/>
      <c r="F158" s="207"/>
      <c r="G158" s="137">
        <v>3.387</v>
      </c>
      <c r="H158" s="99"/>
    </row>
    <row r="159" spans="1:8" ht="13.2" x14ac:dyDescent="0.25">
      <c r="A159" s="94"/>
      <c r="B159" s="94"/>
      <c r="C159" s="94"/>
      <c r="D159" s="135" t="s">
        <v>739</v>
      </c>
      <c r="E159" s="207" t="s">
        <v>740</v>
      </c>
      <c r="F159" s="207"/>
      <c r="G159" s="137">
        <v>22.997</v>
      </c>
      <c r="H159" s="99"/>
    </row>
    <row r="160" spans="1:8" ht="13.2" x14ac:dyDescent="0.25">
      <c r="A160" s="94"/>
      <c r="B160" s="94"/>
      <c r="C160" s="94"/>
      <c r="D160" s="135" t="s">
        <v>741</v>
      </c>
      <c r="E160" s="207"/>
      <c r="F160" s="207"/>
      <c r="G160" s="137">
        <v>4.9770000000000003</v>
      </c>
      <c r="H160" s="99"/>
    </row>
    <row r="161" spans="1:8" ht="13.2" x14ac:dyDescent="0.25">
      <c r="A161" s="94"/>
      <c r="B161" s="94"/>
      <c r="C161" s="94"/>
      <c r="D161" s="135" t="s">
        <v>742</v>
      </c>
      <c r="E161" s="207"/>
      <c r="F161" s="207"/>
      <c r="G161" s="137">
        <v>3.4630000000000001</v>
      </c>
      <c r="H161" s="99"/>
    </row>
    <row r="162" spans="1:8" ht="24" customHeight="1" x14ac:dyDescent="0.25">
      <c r="A162" s="94" t="s">
        <v>396</v>
      </c>
      <c r="B162" s="94" t="s">
        <v>103</v>
      </c>
      <c r="C162" s="94" t="s">
        <v>391</v>
      </c>
      <c r="D162" s="199" t="s">
        <v>397</v>
      </c>
      <c r="E162" s="199"/>
      <c r="F162" s="94" t="s">
        <v>366</v>
      </c>
      <c r="G162" s="97">
        <v>83.965999999999994</v>
      </c>
      <c r="H162" s="97">
        <v>0</v>
      </c>
    </row>
    <row r="163" spans="1:8" x14ac:dyDescent="0.3">
      <c r="A163" s="134"/>
      <c r="B163" s="134"/>
      <c r="C163" s="134"/>
      <c r="D163" s="135" t="s">
        <v>743</v>
      </c>
      <c r="E163" s="207" t="s">
        <v>744</v>
      </c>
      <c r="F163" s="207"/>
      <c r="G163" s="137">
        <v>77.072000000000003</v>
      </c>
      <c r="H163" s="134"/>
    </row>
    <row r="164" spans="1:8" ht="13.2" x14ac:dyDescent="0.25">
      <c r="A164" s="94"/>
      <c r="B164" s="94"/>
      <c r="C164" s="94"/>
      <c r="D164" s="135" t="s">
        <v>745</v>
      </c>
      <c r="E164" s="207" t="s">
        <v>728</v>
      </c>
      <c r="F164" s="207"/>
      <c r="G164" s="137">
        <v>3.4380000000000002</v>
      </c>
      <c r="H164" s="99"/>
    </row>
    <row r="165" spans="1:8" ht="13.2" x14ac:dyDescent="0.25">
      <c r="A165" s="94"/>
      <c r="B165" s="94"/>
      <c r="C165" s="94"/>
      <c r="D165" s="135" t="s">
        <v>746</v>
      </c>
      <c r="E165" s="207" t="s">
        <v>730</v>
      </c>
      <c r="F165" s="207"/>
      <c r="G165" s="137">
        <v>3.456</v>
      </c>
      <c r="H165" s="99"/>
    </row>
    <row r="166" spans="1:8" ht="15" customHeight="1" x14ac:dyDescent="0.25">
      <c r="A166" s="94" t="s">
        <v>400</v>
      </c>
      <c r="B166" s="94" t="s">
        <v>103</v>
      </c>
      <c r="C166" s="94" t="s">
        <v>401</v>
      </c>
      <c r="D166" s="199" t="s">
        <v>402</v>
      </c>
      <c r="E166" s="199"/>
      <c r="F166" s="94" t="s">
        <v>323</v>
      </c>
      <c r="G166" s="97">
        <v>9.4580000000000002</v>
      </c>
      <c r="H166" s="97">
        <v>0</v>
      </c>
    </row>
    <row r="167" spans="1:8" x14ac:dyDescent="0.3">
      <c r="A167" s="134"/>
      <c r="B167" s="134"/>
      <c r="C167" s="134"/>
      <c r="D167" s="135" t="s">
        <v>747</v>
      </c>
      <c r="E167" s="207"/>
      <c r="F167" s="207"/>
      <c r="G167" s="137">
        <v>9.4580000000000002</v>
      </c>
      <c r="H167" s="134"/>
    </row>
    <row r="168" spans="1:8" ht="15" customHeight="1" x14ac:dyDescent="0.25">
      <c r="A168" s="94" t="s">
        <v>404</v>
      </c>
      <c r="B168" s="94" t="s">
        <v>103</v>
      </c>
      <c r="C168" s="94" t="s">
        <v>405</v>
      </c>
      <c r="D168" s="199" t="s">
        <v>406</v>
      </c>
      <c r="E168" s="199"/>
      <c r="F168" s="94" t="s">
        <v>323</v>
      </c>
      <c r="G168" s="97">
        <v>199.53</v>
      </c>
      <c r="H168" s="97">
        <v>0</v>
      </c>
    </row>
    <row r="169" spans="1:8" x14ac:dyDescent="0.3">
      <c r="A169" s="134"/>
      <c r="B169" s="134"/>
      <c r="C169" s="134"/>
      <c r="D169" s="135" t="s">
        <v>748</v>
      </c>
      <c r="E169" s="207"/>
      <c r="F169" s="207"/>
      <c r="G169" s="137">
        <v>199.53</v>
      </c>
      <c r="H169" s="134"/>
    </row>
    <row r="170" spans="1:8" ht="15" customHeight="1" x14ac:dyDescent="0.25">
      <c r="A170" s="94" t="s">
        <v>407</v>
      </c>
      <c r="B170" s="94" t="s">
        <v>103</v>
      </c>
      <c r="C170" s="94" t="s">
        <v>408</v>
      </c>
      <c r="D170" s="199" t="s">
        <v>409</v>
      </c>
      <c r="E170" s="199"/>
      <c r="F170" s="94" t="s">
        <v>323</v>
      </c>
      <c r="G170" s="97">
        <v>23.247</v>
      </c>
      <c r="H170" s="97">
        <v>0</v>
      </c>
    </row>
    <row r="171" spans="1:8" x14ac:dyDescent="0.3">
      <c r="A171" s="134"/>
      <c r="B171" s="134"/>
      <c r="C171" s="134"/>
      <c r="D171" s="135" t="s">
        <v>749</v>
      </c>
      <c r="E171" s="207" t="s">
        <v>750</v>
      </c>
      <c r="F171" s="207"/>
      <c r="G171" s="137">
        <v>23.247</v>
      </c>
      <c r="H171" s="134"/>
    </row>
    <row r="172" spans="1:8" ht="15" customHeight="1" x14ac:dyDescent="0.25">
      <c r="A172" s="94" t="s">
        <v>410</v>
      </c>
      <c r="B172" s="94" t="s">
        <v>103</v>
      </c>
      <c r="C172" s="94" t="s">
        <v>411</v>
      </c>
      <c r="D172" s="199" t="s">
        <v>412</v>
      </c>
      <c r="E172" s="199"/>
      <c r="F172" s="94" t="s">
        <v>323</v>
      </c>
      <c r="G172" s="97">
        <v>0.27</v>
      </c>
      <c r="H172" s="97">
        <v>0</v>
      </c>
    </row>
    <row r="173" spans="1:8" x14ac:dyDescent="0.3">
      <c r="A173" s="134"/>
      <c r="B173" s="134"/>
      <c r="C173" s="134"/>
      <c r="D173" s="135" t="s">
        <v>751</v>
      </c>
      <c r="E173" s="207"/>
      <c r="F173" s="207"/>
      <c r="G173" s="137">
        <v>0.27</v>
      </c>
      <c r="H173" s="134"/>
    </row>
    <row r="174" spans="1:8" ht="15" customHeight="1" x14ac:dyDescent="0.25">
      <c r="A174" s="94" t="s">
        <v>413</v>
      </c>
      <c r="B174" s="94" t="s">
        <v>103</v>
      </c>
      <c r="C174" s="94" t="s">
        <v>414</v>
      </c>
      <c r="D174" s="199" t="s">
        <v>415</v>
      </c>
      <c r="E174" s="199"/>
      <c r="F174" s="94" t="s">
        <v>323</v>
      </c>
      <c r="G174" s="97">
        <v>2.61</v>
      </c>
      <c r="H174" s="97">
        <v>0</v>
      </c>
    </row>
    <row r="175" spans="1:8" x14ac:dyDescent="0.3">
      <c r="A175" s="134"/>
      <c r="B175" s="134"/>
      <c r="C175" s="134"/>
      <c r="D175" s="135" t="s">
        <v>752</v>
      </c>
      <c r="E175" s="207" t="s">
        <v>753</v>
      </c>
      <c r="F175" s="207"/>
      <c r="G175" s="137">
        <v>2.61</v>
      </c>
      <c r="H175" s="134"/>
    </row>
    <row r="176" spans="1:8" ht="15" customHeight="1" x14ac:dyDescent="0.25">
      <c r="A176" s="94" t="s">
        <v>416</v>
      </c>
      <c r="B176" s="94" t="s">
        <v>103</v>
      </c>
      <c r="C176" s="94" t="s">
        <v>417</v>
      </c>
      <c r="D176" s="199" t="s">
        <v>418</v>
      </c>
      <c r="E176" s="199"/>
      <c r="F176" s="94" t="s">
        <v>323</v>
      </c>
      <c r="G176" s="97">
        <v>1.7150000000000001</v>
      </c>
      <c r="H176" s="97">
        <v>0</v>
      </c>
    </row>
    <row r="177" spans="1:8" x14ac:dyDescent="0.3">
      <c r="A177" s="134"/>
      <c r="B177" s="134"/>
      <c r="C177" s="134"/>
      <c r="D177" s="135" t="s">
        <v>754</v>
      </c>
      <c r="E177" s="207" t="s">
        <v>755</v>
      </c>
      <c r="F177" s="207"/>
      <c r="G177" s="137">
        <v>1.7150000000000001</v>
      </c>
      <c r="H177" s="134"/>
    </row>
    <row r="178" spans="1:8" ht="15" customHeight="1" x14ac:dyDescent="0.25">
      <c r="A178" s="94" t="s">
        <v>419</v>
      </c>
      <c r="B178" s="94" t="s">
        <v>103</v>
      </c>
      <c r="C178" s="94" t="s">
        <v>420</v>
      </c>
      <c r="D178" s="199" t="s">
        <v>421</v>
      </c>
      <c r="E178" s="199"/>
      <c r="F178" s="94" t="s">
        <v>323</v>
      </c>
      <c r="G178" s="97">
        <v>0.55300000000000005</v>
      </c>
      <c r="H178" s="97">
        <v>0</v>
      </c>
    </row>
    <row r="179" spans="1:8" x14ac:dyDescent="0.3">
      <c r="A179" s="134"/>
      <c r="B179" s="134"/>
      <c r="C179" s="134"/>
      <c r="D179" s="135" t="s">
        <v>756</v>
      </c>
      <c r="E179" s="207" t="s">
        <v>757</v>
      </c>
      <c r="F179" s="207"/>
      <c r="G179" s="137">
        <v>0.55300000000000005</v>
      </c>
      <c r="H179" s="134"/>
    </row>
    <row r="180" spans="1:8" ht="15" customHeight="1" x14ac:dyDescent="0.25">
      <c r="A180" s="94" t="s">
        <v>422</v>
      </c>
      <c r="B180" s="94" t="s">
        <v>103</v>
      </c>
      <c r="C180" s="94" t="s">
        <v>423</v>
      </c>
      <c r="D180" s="199" t="s">
        <v>424</v>
      </c>
      <c r="E180" s="199"/>
      <c r="F180" s="94" t="s">
        <v>323</v>
      </c>
      <c r="G180" s="97">
        <v>2.5539999999999998</v>
      </c>
      <c r="H180" s="97">
        <v>0</v>
      </c>
    </row>
    <row r="181" spans="1:8" x14ac:dyDescent="0.3">
      <c r="A181" s="134"/>
      <c r="B181" s="134"/>
      <c r="C181" s="134"/>
      <c r="D181" s="135" t="s">
        <v>758</v>
      </c>
      <c r="E181" s="207" t="s">
        <v>759</v>
      </c>
      <c r="F181" s="207"/>
      <c r="G181" s="137">
        <v>0.224</v>
      </c>
      <c r="H181" s="134"/>
    </row>
    <row r="182" spans="1:8" ht="13.2" x14ac:dyDescent="0.25">
      <c r="A182" s="94"/>
      <c r="B182" s="94"/>
      <c r="C182" s="94"/>
      <c r="D182" s="135" t="s">
        <v>760</v>
      </c>
      <c r="E182" s="207" t="s">
        <v>761</v>
      </c>
      <c r="F182" s="207"/>
      <c r="G182" s="137">
        <v>4.2999999999999997E-2</v>
      </c>
      <c r="H182" s="99"/>
    </row>
    <row r="183" spans="1:8" ht="13.2" x14ac:dyDescent="0.25">
      <c r="A183" s="94"/>
      <c r="B183" s="94"/>
      <c r="C183" s="94"/>
      <c r="D183" s="135" t="s">
        <v>762</v>
      </c>
      <c r="E183" s="207" t="s">
        <v>763</v>
      </c>
      <c r="F183" s="207"/>
      <c r="G183" s="137">
        <v>1.411</v>
      </c>
      <c r="H183" s="99"/>
    </row>
    <row r="184" spans="1:8" ht="13.2" x14ac:dyDescent="0.25">
      <c r="A184" s="94"/>
      <c r="B184" s="94"/>
      <c r="C184" s="94"/>
      <c r="D184" s="135" t="s">
        <v>764</v>
      </c>
      <c r="E184" s="207" t="s">
        <v>765</v>
      </c>
      <c r="F184" s="207"/>
      <c r="G184" s="137">
        <v>0.504</v>
      </c>
      <c r="H184" s="99"/>
    </row>
    <row r="185" spans="1:8" ht="13.2" x14ac:dyDescent="0.25">
      <c r="A185" s="94"/>
      <c r="B185" s="94"/>
      <c r="C185" s="94"/>
      <c r="D185" s="135" t="s">
        <v>766</v>
      </c>
      <c r="E185" s="207" t="s">
        <v>767</v>
      </c>
      <c r="F185" s="207"/>
      <c r="G185" s="137">
        <v>0.372</v>
      </c>
      <c r="H185" s="99"/>
    </row>
    <row r="186" spans="1:8" ht="15" customHeight="1" x14ac:dyDescent="0.25">
      <c r="A186" s="94" t="s">
        <v>425</v>
      </c>
      <c r="B186" s="94" t="s">
        <v>103</v>
      </c>
      <c r="C186" s="94" t="s">
        <v>426</v>
      </c>
      <c r="D186" s="199" t="s">
        <v>427</v>
      </c>
      <c r="E186" s="199"/>
      <c r="F186" s="94" t="s">
        <v>323</v>
      </c>
      <c r="G186" s="97">
        <v>2.0249999999999999</v>
      </c>
      <c r="H186" s="97">
        <v>0</v>
      </c>
    </row>
    <row r="187" spans="1:8" x14ac:dyDescent="0.3">
      <c r="A187" s="134"/>
      <c r="B187" s="134"/>
      <c r="C187" s="134"/>
      <c r="D187" s="135" t="s">
        <v>768</v>
      </c>
      <c r="E187" s="207" t="s">
        <v>769</v>
      </c>
      <c r="F187" s="207"/>
      <c r="G187" s="137">
        <v>2.0249999999999999</v>
      </c>
      <c r="H187" s="134"/>
    </row>
    <row r="188" spans="1:8" ht="15" customHeight="1" x14ac:dyDescent="0.25">
      <c r="A188" s="94" t="s">
        <v>428</v>
      </c>
      <c r="B188" s="94" t="s">
        <v>103</v>
      </c>
      <c r="C188" s="94" t="s">
        <v>429</v>
      </c>
      <c r="D188" s="199" t="s">
        <v>430</v>
      </c>
      <c r="E188" s="199"/>
      <c r="F188" s="94" t="s">
        <v>323</v>
      </c>
      <c r="G188" s="97">
        <v>3.8879999999999999</v>
      </c>
      <c r="H188" s="97">
        <v>0</v>
      </c>
    </row>
    <row r="189" spans="1:8" x14ac:dyDescent="0.3">
      <c r="A189" s="134"/>
      <c r="B189" s="134"/>
      <c r="C189" s="134"/>
      <c r="D189" s="135" t="s">
        <v>770</v>
      </c>
      <c r="E189" s="207" t="s">
        <v>771</v>
      </c>
      <c r="F189" s="207"/>
      <c r="G189" s="137">
        <v>3.8879999999999999</v>
      </c>
      <c r="H189" s="134"/>
    </row>
    <row r="190" spans="1:8" ht="15" customHeight="1" x14ac:dyDescent="0.25">
      <c r="A190" s="94" t="s">
        <v>431</v>
      </c>
      <c r="B190" s="94" t="s">
        <v>103</v>
      </c>
      <c r="C190" s="94" t="s">
        <v>432</v>
      </c>
      <c r="D190" s="199" t="s">
        <v>433</v>
      </c>
      <c r="E190" s="199"/>
      <c r="F190" s="94" t="s">
        <v>323</v>
      </c>
      <c r="G190" s="97">
        <v>605.73099999999999</v>
      </c>
      <c r="H190" s="97">
        <v>0</v>
      </c>
    </row>
    <row r="191" spans="1:8" x14ac:dyDescent="0.3">
      <c r="A191" s="134"/>
      <c r="B191" s="134"/>
      <c r="C191" s="134"/>
      <c r="D191" s="135" t="s">
        <v>772</v>
      </c>
      <c r="E191" s="207"/>
      <c r="F191" s="207"/>
      <c r="G191" s="137">
        <v>605.73099999999999</v>
      </c>
      <c r="H191" s="134"/>
    </row>
    <row r="192" spans="1:8" ht="15" customHeight="1" x14ac:dyDescent="0.25">
      <c r="A192" s="94" t="s">
        <v>434</v>
      </c>
      <c r="B192" s="94" t="s">
        <v>103</v>
      </c>
      <c r="C192" s="94" t="s">
        <v>435</v>
      </c>
      <c r="D192" s="199" t="s">
        <v>436</v>
      </c>
      <c r="E192" s="199"/>
      <c r="F192" s="94" t="s">
        <v>323</v>
      </c>
      <c r="G192" s="97">
        <v>0.97699999999999998</v>
      </c>
      <c r="H192" s="97">
        <v>0</v>
      </c>
    </row>
    <row r="193" spans="1:8" x14ac:dyDescent="0.3">
      <c r="A193" s="134"/>
      <c r="B193" s="134"/>
      <c r="C193" s="134"/>
      <c r="D193" s="135" t="s">
        <v>773</v>
      </c>
      <c r="E193" s="207"/>
      <c r="F193" s="207"/>
      <c r="G193" s="137">
        <v>0.97699999999999998</v>
      </c>
      <c r="H193" s="134"/>
    </row>
    <row r="194" spans="1:8" ht="15" customHeight="1" x14ac:dyDescent="0.25">
      <c r="A194" s="94" t="s">
        <v>437</v>
      </c>
      <c r="B194" s="94" t="s">
        <v>103</v>
      </c>
      <c r="C194" s="94" t="s">
        <v>438</v>
      </c>
      <c r="D194" s="199" t="s">
        <v>439</v>
      </c>
      <c r="E194" s="199"/>
      <c r="F194" s="94" t="s">
        <v>323</v>
      </c>
      <c r="G194" s="97">
        <v>287.60199999999998</v>
      </c>
      <c r="H194" s="97">
        <v>0</v>
      </c>
    </row>
    <row r="195" spans="1:8" x14ac:dyDescent="0.3">
      <c r="A195" s="134"/>
      <c r="B195" s="134"/>
      <c r="C195" s="134"/>
      <c r="D195" s="135" t="s">
        <v>774</v>
      </c>
      <c r="E195" s="207"/>
      <c r="F195" s="207"/>
      <c r="G195" s="137">
        <v>287.60199999999998</v>
      </c>
      <c r="H195" s="134"/>
    </row>
    <row r="196" spans="1:8" ht="15" customHeight="1" x14ac:dyDescent="0.25">
      <c r="A196" s="94" t="s">
        <v>440</v>
      </c>
      <c r="B196" s="94" t="s">
        <v>103</v>
      </c>
      <c r="C196" s="94" t="s">
        <v>441</v>
      </c>
      <c r="D196" s="199" t="s">
        <v>442</v>
      </c>
      <c r="E196" s="199"/>
      <c r="F196" s="94" t="s">
        <v>323</v>
      </c>
      <c r="G196" s="97">
        <v>287.60199999999998</v>
      </c>
      <c r="H196" s="97">
        <v>0</v>
      </c>
    </row>
    <row r="197" spans="1:8" x14ac:dyDescent="0.3">
      <c r="A197" s="134"/>
      <c r="B197" s="134"/>
      <c r="C197" s="134"/>
      <c r="D197" s="135" t="s">
        <v>775</v>
      </c>
      <c r="E197" s="207"/>
      <c r="F197" s="207"/>
      <c r="G197" s="137">
        <v>287.60199999999998</v>
      </c>
      <c r="H197" s="134"/>
    </row>
    <row r="198" spans="1:8" ht="15" customHeight="1" x14ac:dyDescent="0.25">
      <c r="A198" s="94" t="s">
        <v>443</v>
      </c>
      <c r="B198" s="94" t="s">
        <v>103</v>
      </c>
      <c r="C198" s="94" t="s">
        <v>444</v>
      </c>
      <c r="D198" s="199" t="s">
        <v>445</v>
      </c>
      <c r="E198" s="199"/>
      <c r="F198" s="94" t="s">
        <v>323</v>
      </c>
      <c r="G198" s="97">
        <v>47.296999999999997</v>
      </c>
      <c r="H198" s="97">
        <v>0</v>
      </c>
    </row>
    <row r="199" spans="1:8" x14ac:dyDescent="0.3">
      <c r="A199" s="134"/>
      <c r="B199" s="134"/>
      <c r="C199" s="134"/>
      <c r="D199" s="135" t="s">
        <v>776</v>
      </c>
      <c r="E199" s="207"/>
      <c r="F199" s="207"/>
      <c r="G199" s="137">
        <v>47.296999999999997</v>
      </c>
      <c r="H199" s="134"/>
    </row>
    <row r="200" spans="1:8" ht="15" customHeight="1" x14ac:dyDescent="0.25">
      <c r="A200" s="94" t="s">
        <v>446</v>
      </c>
      <c r="B200" s="94" t="s">
        <v>103</v>
      </c>
      <c r="C200" s="94" t="s">
        <v>447</v>
      </c>
      <c r="D200" s="199" t="s">
        <v>448</v>
      </c>
      <c r="E200" s="199"/>
      <c r="F200" s="94" t="s">
        <v>323</v>
      </c>
      <c r="G200" s="97">
        <v>94.593999999999994</v>
      </c>
      <c r="H200" s="97">
        <v>0</v>
      </c>
    </row>
    <row r="201" spans="1:8" x14ac:dyDescent="0.3">
      <c r="A201" s="134"/>
      <c r="B201" s="134"/>
      <c r="C201" s="134"/>
      <c r="D201" s="135" t="s">
        <v>777</v>
      </c>
      <c r="E201" s="207"/>
      <c r="F201" s="207"/>
      <c r="G201" s="137">
        <v>94.593999999999994</v>
      </c>
      <c r="H201" s="134"/>
    </row>
    <row r="202" spans="1:8" ht="15" customHeight="1" x14ac:dyDescent="0.25">
      <c r="A202" s="94" t="s">
        <v>449</v>
      </c>
      <c r="B202" s="94" t="s">
        <v>103</v>
      </c>
      <c r="C202" s="94" t="s">
        <v>450</v>
      </c>
      <c r="D202" s="199" t="s">
        <v>451</v>
      </c>
      <c r="E202" s="199"/>
      <c r="F202" s="94" t="s">
        <v>323</v>
      </c>
      <c r="G202" s="97">
        <v>47.296999999999997</v>
      </c>
      <c r="H202" s="97">
        <v>0</v>
      </c>
    </row>
    <row r="203" spans="1:8" x14ac:dyDescent="0.3">
      <c r="A203" s="134"/>
      <c r="B203" s="134"/>
      <c r="C203" s="134"/>
      <c r="D203" s="135" t="s">
        <v>778</v>
      </c>
      <c r="E203" s="207"/>
      <c r="F203" s="207"/>
      <c r="G203" s="137">
        <v>47.296999999999997</v>
      </c>
      <c r="H203" s="134"/>
    </row>
    <row r="204" spans="1:8" ht="15" customHeight="1" x14ac:dyDescent="0.25">
      <c r="A204" s="94" t="s">
        <v>452</v>
      </c>
      <c r="B204" s="94" t="s">
        <v>103</v>
      </c>
      <c r="C204" s="94" t="s">
        <v>453</v>
      </c>
      <c r="D204" s="199" t="s">
        <v>454</v>
      </c>
      <c r="E204" s="199"/>
      <c r="F204" s="94" t="s">
        <v>323</v>
      </c>
      <c r="G204" s="97">
        <v>862.80700000000002</v>
      </c>
      <c r="H204" s="97">
        <v>0</v>
      </c>
    </row>
    <row r="205" spans="1:8" x14ac:dyDescent="0.3">
      <c r="A205" s="134"/>
      <c r="B205" s="134"/>
      <c r="C205" s="134"/>
      <c r="D205" s="135" t="s">
        <v>779</v>
      </c>
      <c r="E205" s="207" t="s">
        <v>780</v>
      </c>
      <c r="F205" s="207"/>
      <c r="G205" s="137">
        <v>859.65700000000004</v>
      </c>
      <c r="H205" s="134"/>
    </row>
    <row r="206" spans="1:8" ht="13.2" x14ac:dyDescent="0.25">
      <c r="A206" s="94"/>
      <c r="B206" s="94"/>
      <c r="C206" s="94"/>
      <c r="D206" s="135" t="s">
        <v>781</v>
      </c>
      <c r="E206" s="207" t="s">
        <v>782</v>
      </c>
      <c r="F206" s="207"/>
      <c r="G206" s="137">
        <v>0.5</v>
      </c>
      <c r="H206" s="99"/>
    </row>
    <row r="207" spans="1:8" ht="13.2" x14ac:dyDescent="0.25">
      <c r="A207" s="94"/>
      <c r="B207" s="94"/>
      <c r="C207" s="94"/>
      <c r="D207" s="135" t="s">
        <v>783</v>
      </c>
      <c r="E207" s="207" t="s">
        <v>784</v>
      </c>
      <c r="F207" s="207"/>
      <c r="G207" s="137">
        <v>0.95</v>
      </c>
      <c r="H207" s="99"/>
    </row>
    <row r="208" spans="1:8" ht="13.2" x14ac:dyDescent="0.25">
      <c r="A208" s="94"/>
      <c r="B208" s="94"/>
      <c r="C208" s="94"/>
      <c r="D208" s="135" t="s">
        <v>781</v>
      </c>
      <c r="E208" s="207" t="s">
        <v>785</v>
      </c>
      <c r="F208" s="207"/>
      <c r="G208" s="137">
        <v>0.5</v>
      </c>
      <c r="H208" s="99"/>
    </row>
    <row r="209" spans="1:8" ht="13.2" x14ac:dyDescent="0.25">
      <c r="A209" s="94"/>
      <c r="B209" s="94"/>
      <c r="C209" s="94"/>
      <c r="D209" s="135" t="s">
        <v>786</v>
      </c>
      <c r="E209" s="207" t="s">
        <v>787</v>
      </c>
      <c r="F209" s="207"/>
      <c r="G209" s="137">
        <v>0.2</v>
      </c>
      <c r="H209" s="99"/>
    </row>
    <row r="210" spans="1:8" ht="13.2" x14ac:dyDescent="0.25">
      <c r="A210" s="94"/>
      <c r="B210" s="94"/>
      <c r="C210" s="94"/>
      <c r="D210" s="135" t="s">
        <v>152</v>
      </c>
      <c r="E210" s="207" t="s">
        <v>788</v>
      </c>
      <c r="F210" s="207"/>
      <c r="G210" s="137">
        <v>1</v>
      </c>
      <c r="H210" s="99"/>
    </row>
    <row r="211" spans="1:8" ht="15" customHeight="1" x14ac:dyDescent="0.25">
      <c r="A211" s="94" t="s">
        <v>455</v>
      </c>
      <c r="B211" s="94" t="s">
        <v>103</v>
      </c>
      <c r="C211" s="94" t="s">
        <v>456</v>
      </c>
      <c r="D211" s="199" t="s">
        <v>457</v>
      </c>
      <c r="E211" s="199"/>
      <c r="F211" s="94" t="s">
        <v>323</v>
      </c>
      <c r="G211" s="97">
        <v>6902.4560000000001</v>
      </c>
      <c r="H211" s="97">
        <v>0</v>
      </c>
    </row>
    <row r="212" spans="1:8" x14ac:dyDescent="0.3">
      <c r="A212" s="134"/>
      <c r="B212" s="134"/>
      <c r="C212" s="134"/>
      <c r="D212" s="135" t="s">
        <v>789</v>
      </c>
      <c r="E212" s="207"/>
      <c r="F212" s="207"/>
      <c r="G212" s="137">
        <v>6902.4560000000001</v>
      </c>
      <c r="H212" s="134"/>
    </row>
    <row r="213" spans="1:8" ht="15" customHeight="1" x14ac:dyDescent="0.25">
      <c r="A213" s="94" t="s">
        <v>458</v>
      </c>
      <c r="B213" s="94" t="s">
        <v>103</v>
      </c>
      <c r="C213" s="94" t="s">
        <v>459</v>
      </c>
      <c r="D213" s="199" t="s">
        <v>460</v>
      </c>
      <c r="E213" s="199"/>
      <c r="F213" s="94" t="s">
        <v>323</v>
      </c>
      <c r="G213" s="97">
        <v>0.72599999999999998</v>
      </c>
      <c r="H213" s="97">
        <v>0</v>
      </c>
    </row>
    <row r="214" spans="1:8" x14ac:dyDescent="0.3">
      <c r="A214" s="134"/>
      <c r="B214" s="134"/>
      <c r="C214" s="134"/>
      <c r="D214" s="135" t="s">
        <v>790</v>
      </c>
      <c r="E214" s="207" t="s">
        <v>791</v>
      </c>
      <c r="F214" s="207"/>
      <c r="G214" s="137">
        <v>0.29799999999999999</v>
      </c>
      <c r="H214" s="134"/>
    </row>
    <row r="215" spans="1:8" ht="13.2" x14ac:dyDescent="0.25">
      <c r="A215" s="94"/>
      <c r="B215" s="94"/>
      <c r="C215" s="94"/>
      <c r="D215" s="135" t="s">
        <v>792</v>
      </c>
      <c r="E215" s="207" t="s">
        <v>793</v>
      </c>
      <c r="F215" s="207"/>
      <c r="G215" s="137">
        <v>0.42799999999999999</v>
      </c>
      <c r="H215" s="99"/>
    </row>
    <row r="216" spans="1:8" ht="15" customHeight="1" x14ac:dyDescent="0.25">
      <c r="A216" s="94" t="s">
        <v>461</v>
      </c>
      <c r="B216" s="94" t="s">
        <v>103</v>
      </c>
      <c r="C216" s="94" t="s">
        <v>462</v>
      </c>
      <c r="D216" s="199" t="s">
        <v>463</v>
      </c>
      <c r="E216" s="199"/>
      <c r="F216" s="94" t="s">
        <v>323</v>
      </c>
      <c r="G216" s="97">
        <v>3.0649999999999999</v>
      </c>
      <c r="H216" s="97">
        <v>0</v>
      </c>
    </row>
    <row r="217" spans="1:8" x14ac:dyDescent="0.3">
      <c r="A217" s="134"/>
      <c r="B217" s="134"/>
      <c r="C217" s="134"/>
      <c r="D217" s="135" t="s">
        <v>794</v>
      </c>
      <c r="E217" s="207" t="s">
        <v>795</v>
      </c>
      <c r="F217" s="207"/>
      <c r="G217" s="137">
        <v>1.4970000000000001</v>
      </c>
      <c r="H217" s="134"/>
    </row>
    <row r="218" spans="1:8" ht="13.2" x14ac:dyDescent="0.25">
      <c r="A218" s="94"/>
      <c r="B218" s="94"/>
      <c r="C218" s="94"/>
      <c r="D218" s="135" t="s">
        <v>796</v>
      </c>
      <c r="E218" s="207" t="s">
        <v>797</v>
      </c>
      <c r="F218" s="207"/>
      <c r="G218" s="137">
        <v>0.55300000000000005</v>
      </c>
      <c r="H218" s="99"/>
    </row>
    <row r="219" spans="1:8" ht="13.2" x14ac:dyDescent="0.25">
      <c r="A219" s="94"/>
      <c r="B219" s="94"/>
      <c r="C219" s="94"/>
      <c r="D219" s="135" t="s">
        <v>798</v>
      </c>
      <c r="E219" s="207" t="s">
        <v>799</v>
      </c>
      <c r="F219" s="207"/>
      <c r="G219" s="137">
        <v>1.0149999999999999</v>
      </c>
      <c r="H219" s="99"/>
    </row>
    <row r="220" spans="1:8" ht="15" customHeight="1" x14ac:dyDescent="0.25">
      <c r="A220" s="94" t="s">
        <v>464</v>
      </c>
      <c r="B220" s="94" t="s">
        <v>103</v>
      </c>
      <c r="C220" s="94" t="s">
        <v>465</v>
      </c>
      <c r="D220" s="199" t="s">
        <v>466</v>
      </c>
      <c r="E220" s="199"/>
      <c r="F220" s="94" t="s">
        <v>323</v>
      </c>
      <c r="G220" s="97">
        <v>0.219</v>
      </c>
      <c r="H220" s="97">
        <v>0</v>
      </c>
    </row>
    <row r="221" spans="1:8" x14ac:dyDescent="0.3">
      <c r="A221" s="134"/>
      <c r="B221" s="134"/>
      <c r="C221" s="134"/>
      <c r="D221" s="135" t="s">
        <v>800</v>
      </c>
      <c r="E221" s="207" t="s">
        <v>801</v>
      </c>
      <c r="F221" s="207"/>
      <c r="G221" s="137">
        <v>0.219</v>
      </c>
      <c r="H221" s="134"/>
    </row>
    <row r="223" spans="1:8" x14ac:dyDescent="0.3">
      <c r="A223"/>
    </row>
    <row r="224" spans="1:8" hidden="1" x14ac:dyDescent="0.3">
      <c r="A224" s="8"/>
      <c r="B224" s="8"/>
      <c r="C224" s="8"/>
      <c r="D224" s="8"/>
      <c r="E224" s="8"/>
      <c r="F224" s="8"/>
      <c r="G224" s="8"/>
    </row>
  </sheetData>
  <mergeCells count="230">
    <mergeCell ref="E218:F218"/>
    <mergeCell ref="E219:F219"/>
    <mergeCell ref="D220:E220"/>
    <mergeCell ref="E221:F221"/>
    <mergeCell ref="A224:G224"/>
    <mergeCell ref="E209:F209"/>
    <mergeCell ref="E210:F210"/>
    <mergeCell ref="D211:E211"/>
    <mergeCell ref="E212:F212"/>
    <mergeCell ref="D213:E213"/>
    <mergeCell ref="E214:F214"/>
    <mergeCell ref="E215:F215"/>
    <mergeCell ref="D216:E216"/>
    <mergeCell ref="E217:F217"/>
    <mergeCell ref="D200:E200"/>
    <mergeCell ref="E201:F201"/>
    <mergeCell ref="D202:E202"/>
    <mergeCell ref="E203:F203"/>
    <mergeCell ref="D204:E204"/>
    <mergeCell ref="E205:F205"/>
    <mergeCell ref="E206:F206"/>
    <mergeCell ref="E207:F207"/>
    <mergeCell ref="E208:F208"/>
    <mergeCell ref="E191:F191"/>
    <mergeCell ref="D192:E192"/>
    <mergeCell ref="E193:F193"/>
    <mergeCell ref="D194:E194"/>
    <mergeCell ref="E195:F195"/>
    <mergeCell ref="D196:E196"/>
    <mergeCell ref="E197:F197"/>
    <mergeCell ref="D198:E198"/>
    <mergeCell ref="E199:F199"/>
    <mergeCell ref="E182:F182"/>
    <mergeCell ref="E183:F183"/>
    <mergeCell ref="E184:F184"/>
    <mergeCell ref="E185:F185"/>
    <mergeCell ref="D186:E186"/>
    <mergeCell ref="E187:F187"/>
    <mergeCell ref="D188:E188"/>
    <mergeCell ref="E189:F189"/>
    <mergeCell ref="D190:E190"/>
    <mergeCell ref="E173:F173"/>
    <mergeCell ref="D174:E174"/>
    <mergeCell ref="E175:F175"/>
    <mergeCell ref="D176:E176"/>
    <mergeCell ref="E177:F177"/>
    <mergeCell ref="D178:E178"/>
    <mergeCell ref="E179:F179"/>
    <mergeCell ref="D180:E180"/>
    <mergeCell ref="E181:F181"/>
    <mergeCell ref="E164:F164"/>
    <mergeCell ref="E165:F165"/>
    <mergeCell ref="D166:E166"/>
    <mergeCell ref="E167:F167"/>
    <mergeCell ref="D168:E168"/>
    <mergeCell ref="E169:F169"/>
    <mergeCell ref="D170:E170"/>
    <mergeCell ref="E171:F171"/>
    <mergeCell ref="D172:E172"/>
    <mergeCell ref="D155:E155"/>
    <mergeCell ref="E156:F156"/>
    <mergeCell ref="E157:F157"/>
    <mergeCell ref="E158:F158"/>
    <mergeCell ref="E159:F159"/>
    <mergeCell ref="E160:F160"/>
    <mergeCell ref="E161:F161"/>
    <mergeCell ref="D162:E162"/>
    <mergeCell ref="E163:F163"/>
    <mergeCell ref="E146:F146"/>
    <mergeCell ref="E147:F147"/>
    <mergeCell ref="D148:E148"/>
    <mergeCell ref="E149:F149"/>
    <mergeCell ref="D150:E150"/>
    <mergeCell ref="E151:F151"/>
    <mergeCell ref="D152:E152"/>
    <mergeCell ref="E153:F153"/>
    <mergeCell ref="E154:F154"/>
    <mergeCell ref="D137:E137"/>
    <mergeCell ref="E138:F138"/>
    <mergeCell ref="D139:E139"/>
    <mergeCell ref="E140:F140"/>
    <mergeCell ref="D141:E141"/>
    <mergeCell ref="E142:F142"/>
    <mergeCell ref="D143:E143"/>
    <mergeCell ref="E144:F144"/>
    <mergeCell ref="D145:E145"/>
    <mergeCell ref="E128:F128"/>
    <mergeCell ref="D129:E129"/>
    <mergeCell ref="E130:F130"/>
    <mergeCell ref="D131:E131"/>
    <mergeCell ref="E132:F132"/>
    <mergeCell ref="D133:E133"/>
    <mergeCell ref="E134:F134"/>
    <mergeCell ref="D135:E135"/>
    <mergeCell ref="E136:F136"/>
    <mergeCell ref="E119:F119"/>
    <mergeCell ref="E120:F120"/>
    <mergeCell ref="D121:E121"/>
    <mergeCell ref="E122:F122"/>
    <mergeCell ref="D123:E123"/>
    <mergeCell ref="E124:F124"/>
    <mergeCell ref="D125:E125"/>
    <mergeCell ref="E126:F126"/>
    <mergeCell ref="D127:E127"/>
    <mergeCell ref="E110:F110"/>
    <mergeCell ref="D111:E111"/>
    <mergeCell ref="E112:F112"/>
    <mergeCell ref="D113:E113"/>
    <mergeCell ref="E114:F114"/>
    <mergeCell ref="D115:E115"/>
    <mergeCell ref="E116:F116"/>
    <mergeCell ref="E117:F117"/>
    <mergeCell ref="D118:E118"/>
    <mergeCell ref="D101:E101"/>
    <mergeCell ref="E102:F102"/>
    <mergeCell ref="D103:E103"/>
    <mergeCell ref="E104:F104"/>
    <mergeCell ref="D105:E105"/>
    <mergeCell ref="E106:F106"/>
    <mergeCell ref="D107:E107"/>
    <mergeCell ref="E108:F108"/>
    <mergeCell ref="D109:E109"/>
    <mergeCell ref="E92:F92"/>
    <mergeCell ref="D93:E93"/>
    <mergeCell ref="E94:F94"/>
    <mergeCell ref="D95:E95"/>
    <mergeCell ref="E96:F96"/>
    <mergeCell ref="D97:E97"/>
    <mergeCell ref="E98:F98"/>
    <mergeCell ref="D99:E99"/>
    <mergeCell ref="E100:F100"/>
    <mergeCell ref="D83:E83"/>
    <mergeCell ref="E84:F84"/>
    <mergeCell ref="D85:E85"/>
    <mergeCell ref="E86:F86"/>
    <mergeCell ref="D87:E87"/>
    <mergeCell ref="E88:F88"/>
    <mergeCell ref="D89:E89"/>
    <mergeCell ref="E90:F90"/>
    <mergeCell ref="D91:E91"/>
    <mergeCell ref="E74:F74"/>
    <mergeCell ref="D75:E75"/>
    <mergeCell ref="E76:F76"/>
    <mergeCell ref="D77:E77"/>
    <mergeCell ref="E78:F78"/>
    <mergeCell ref="D79:E79"/>
    <mergeCell ref="E80:F80"/>
    <mergeCell ref="D81:E81"/>
    <mergeCell ref="E82:F82"/>
    <mergeCell ref="D65:E65"/>
    <mergeCell ref="E66:F66"/>
    <mergeCell ref="D67:E67"/>
    <mergeCell ref="E68:F68"/>
    <mergeCell ref="D69:E69"/>
    <mergeCell ref="E70:F70"/>
    <mergeCell ref="D71:E71"/>
    <mergeCell ref="E72:F72"/>
    <mergeCell ref="D73:E73"/>
    <mergeCell ref="E56:F56"/>
    <mergeCell ref="D57:E57"/>
    <mergeCell ref="E58:F58"/>
    <mergeCell ref="D59:E59"/>
    <mergeCell ref="E60:F60"/>
    <mergeCell ref="D61:E61"/>
    <mergeCell ref="E62:F62"/>
    <mergeCell ref="D63:E63"/>
    <mergeCell ref="E64:F64"/>
    <mergeCell ref="D47:E47"/>
    <mergeCell ref="E48:F48"/>
    <mergeCell ref="D49:E49"/>
    <mergeCell ref="E50:F50"/>
    <mergeCell ref="D51:E51"/>
    <mergeCell ref="E52:F52"/>
    <mergeCell ref="D53:E53"/>
    <mergeCell ref="E54:F54"/>
    <mergeCell ref="D55:E55"/>
    <mergeCell ref="E38:F38"/>
    <mergeCell ref="D39:E39"/>
    <mergeCell ref="E40:F40"/>
    <mergeCell ref="D41:E41"/>
    <mergeCell ref="E42:F42"/>
    <mergeCell ref="D43:E43"/>
    <mergeCell ref="E44:F44"/>
    <mergeCell ref="D45:E45"/>
    <mergeCell ref="E46:F46"/>
    <mergeCell ref="D29:E29"/>
    <mergeCell ref="E30:F30"/>
    <mergeCell ref="D31:E31"/>
    <mergeCell ref="E32:F32"/>
    <mergeCell ref="D33:E33"/>
    <mergeCell ref="E34:F34"/>
    <mergeCell ref="D35:E35"/>
    <mergeCell ref="E36:F36"/>
    <mergeCell ref="D37:E37"/>
    <mergeCell ref="D20:E20"/>
    <mergeCell ref="D21:E21"/>
    <mergeCell ref="D22:E22"/>
    <mergeCell ref="D23:E23"/>
    <mergeCell ref="D24:E24"/>
    <mergeCell ref="D25:E25"/>
    <mergeCell ref="D26:E26"/>
    <mergeCell ref="D27:E27"/>
    <mergeCell ref="D28:E28"/>
    <mergeCell ref="D11:E11"/>
    <mergeCell ref="D12:E12"/>
    <mergeCell ref="D13:E13"/>
    <mergeCell ref="D14:E14"/>
    <mergeCell ref="D15:E15"/>
    <mergeCell ref="D16:E16"/>
    <mergeCell ref="D17:E17"/>
    <mergeCell ref="D18:E18"/>
    <mergeCell ref="D19:E19"/>
    <mergeCell ref="A6:B7"/>
    <mergeCell ref="C6:D7"/>
    <mergeCell ref="E6:E7"/>
    <mergeCell ref="F6:H7"/>
    <mergeCell ref="A8:B9"/>
    <mergeCell ref="C8:D9"/>
    <mergeCell ref="E8:E9"/>
    <mergeCell ref="F8:H9"/>
    <mergeCell ref="D10:E10"/>
    <mergeCell ref="A1:H1"/>
    <mergeCell ref="A2:B3"/>
    <mergeCell ref="C2:D3"/>
    <mergeCell ref="E2:E3"/>
    <mergeCell ref="F2:H3"/>
    <mergeCell ref="A4:B5"/>
    <mergeCell ref="C4:D5"/>
    <mergeCell ref="E4:E5"/>
    <mergeCell ref="F4:H5"/>
  </mergeCells>
  <pageMargins left="0.39374999999999999" right="0.39374999999999999" top="0.59097222222222201" bottom="0.59097222222222201" header="0.511811023622047" footer="0.511811023622047"/>
  <pageSetup fitToHeight="0" orientation="landscape"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BDB76B"/>
    <pageSetUpPr fitToPage="1"/>
  </sheetPr>
  <dimension ref="A1:I35"/>
  <sheetViews>
    <sheetView zoomScaleNormal="100" workbookViewId="0"/>
  </sheetViews>
  <sheetFormatPr defaultColWidth="12.109375" defaultRowHeight="14.4" x14ac:dyDescent="0.3"/>
  <cols>
    <col min="1" max="1" width="18.33203125" style="22" customWidth="1"/>
    <col min="2" max="2" width="12.88671875" style="22" customWidth="1"/>
    <col min="3" max="3" width="27.109375" style="22" customWidth="1"/>
    <col min="4" max="4" width="19.5546875" style="22" customWidth="1"/>
    <col min="5" max="5" width="14" style="22" customWidth="1"/>
    <col min="6" max="6" width="27.109375" style="22" customWidth="1"/>
    <col min="7" max="7" width="18.88671875" style="22" customWidth="1"/>
    <col min="8" max="8" width="12.88671875" style="22" customWidth="1"/>
    <col min="9" max="9" width="27.109375" style="22" customWidth="1"/>
  </cols>
  <sheetData>
    <row r="1" spans="1:9" ht="39.75" customHeight="1" x14ac:dyDescent="0.25">
      <c r="A1" s="172" t="s">
        <v>922</v>
      </c>
      <c r="B1" s="172"/>
      <c r="C1" s="172"/>
      <c r="D1" s="172"/>
      <c r="E1" s="172"/>
      <c r="F1" s="172"/>
      <c r="G1" s="172"/>
      <c r="H1" s="172"/>
      <c r="I1" s="172"/>
    </row>
    <row r="2" spans="1:9" ht="15" customHeight="1" x14ac:dyDescent="0.25">
      <c r="A2" s="13" t="s">
        <v>1</v>
      </c>
      <c r="B2" s="13"/>
      <c r="C2" s="12" t="str">
        <f>'Stavební rozpočet'!D2</f>
        <v>DEMOLICE PANELOVÉHO DOMU V HORNÍM PARKU</v>
      </c>
      <c r="D2" s="12"/>
      <c r="E2" s="11" t="s">
        <v>2</v>
      </c>
      <c r="F2" s="11" t="str">
        <f>'Stavební rozpočet'!J2</f>
        <v>MĚSTO ZNOJMO</v>
      </c>
      <c r="G2" s="11"/>
      <c r="H2" s="11" t="s">
        <v>3</v>
      </c>
      <c r="I2" s="10"/>
    </row>
    <row r="3" spans="1:9" ht="15" customHeight="1" x14ac:dyDescent="0.25">
      <c r="A3" s="13"/>
      <c r="B3" s="13"/>
      <c r="C3" s="12"/>
      <c r="D3" s="12"/>
      <c r="E3" s="11"/>
      <c r="F3" s="11"/>
      <c r="G3" s="11"/>
      <c r="H3" s="11"/>
      <c r="I3" s="10"/>
    </row>
    <row r="4" spans="1:9" ht="15" customHeight="1" x14ac:dyDescent="0.25">
      <c r="A4" s="9" t="s">
        <v>4</v>
      </c>
      <c r="B4" s="9"/>
      <c r="C4" s="8" t="str">
        <f>'Stavební rozpočet'!D4</f>
        <v>Postupná demolice panelového domu</v>
      </c>
      <c r="D4" s="8"/>
      <c r="E4" s="8" t="s">
        <v>5</v>
      </c>
      <c r="F4" s="8" t="str">
        <f>'Stavební rozpočet'!J4</f>
        <v>Ing.  Roman Zvěřina, Dolní Česká 358/25, 669 02 Znojmo</v>
      </c>
      <c r="G4" s="8"/>
      <c r="H4" s="8" t="s">
        <v>3</v>
      </c>
      <c r="I4" s="7" t="s">
        <v>6</v>
      </c>
    </row>
    <row r="5" spans="1:9" ht="15" customHeight="1" x14ac:dyDescent="0.25">
      <c r="A5" s="9"/>
      <c r="B5" s="9"/>
      <c r="C5" s="8"/>
      <c r="D5" s="8"/>
      <c r="E5" s="8"/>
      <c r="F5" s="8"/>
      <c r="G5" s="8"/>
      <c r="H5" s="8"/>
      <c r="I5" s="7"/>
    </row>
    <row r="6" spans="1:9" ht="15" customHeight="1" x14ac:dyDescent="0.25">
      <c r="A6" s="9" t="s">
        <v>7</v>
      </c>
      <c r="B6" s="9"/>
      <c r="C6" s="8" t="str">
        <f>'Stavební rozpočet'!D6</f>
        <v>k.ú.Znojmo-město parc.č.258/5</v>
      </c>
      <c r="D6" s="8"/>
      <c r="E6" s="8" t="s">
        <v>8</v>
      </c>
      <c r="F6" s="8" t="str">
        <f>'Stavební rozpočet'!J6</f>
        <v> </v>
      </c>
      <c r="G6" s="8"/>
      <c r="H6" s="8" t="s">
        <v>3</v>
      </c>
      <c r="I6" s="7"/>
    </row>
    <row r="7" spans="1:9" ht="15" customHeight="1" x14ac:dyDescent="0.25">
      <c r="A7" s="9"/>
      <c r="B7" s="9"/>
      <c r="C7" s="8"/>
      <c r="D7" s="8"/>
      <c r="E7" s="8"/>
      <c r="F7" s="8"/>
      <c r="G7" s="8"/>
      <c r="H7" s="8"/>
      <c r="I7" s="7"/>
    </row>
    <row r="8" spans="1:9" ht="15" customHeight="1" x14ac:dyDescent="0.25">
      <c r="A8" s="9" t="s">
        <v>9</v>
      </c>
      <c r="B8" s="9"/>
      <c r="C8" s="8" t="str">
        <f>'Stavební rozpočet'!H4</f>
        <v xml:space="preserve"> </v>
      </c>
      <c r="D8" s="8"/>
      <c r="E8" s="8" t="s">
        <v>10</v>
      </c>
      <c r="F8" s="8" t="str">
        <f>'Stavební rozpočet'!H6</f>
        <v xml:space="preserve"> </v>
      </c>
      <c r="G8" s="8"/>
      <c r="H8" s="6" t="s">
        <v>11</v>
      </c>
      <c r="I8" s="5">
        <v>11</v>
      </c>
    </row>
    <row r="9" spans="1:9" ht="13.2" x14ac:dyDescent="0.25">
      <c r="A9" s="9"/>
      <c r="B9" s="9"/>
      <c r="C9" s="8"/>
      <c r="D9" s="8"/>
      <c r="E9" s="8"/>
      <c r="F9" s="8"/>
      <c r="G9" s="8"/>
      <c r="H9" s="6"/>
      <c r="I9" s="5"/>
    </row>
    <row r="10" spans="1:9" ht="15" customHeight="1" x14ac:dyDescent="0.25">
      <c r="A10" s="4" t="s">
        <v>12</v>
      </c>
      <c r="B10" s="4"/>
      <c r="C10" s="3" t="str">
        <f>'Stavební rozpočet'!D8</f>
        <v>80331</v>
      </c>
      <c r="D10" s="3"/>
      <c r="E10" s="3" t="s">
        <v>13</v>
      </c>
      <c r="F10" s="3" t="str">
        <f>'Stavební rozpočet'!J8</f>
        <v>Bohuslav Hemala</v>
      </c>
      <c r="G10" s="3"/>
      <c r="H10" s="2" t="s">
        <v>14</v>
      </c>
      <c r="I10" s="1" t="str">
        <f>'Stavební rozpočet'!H8</f>
        <v>16.05.2025</v>
      </c>
    </row>
    <row r="11" spans="1:9" ht="13.2" x14ac:dyDescent="0.25">
      <c r="A11" s="4"/>
      <c r="B11" s="4"/>
      <c r="C11" s="3"/>
      <c r="D11" s="3"/>
      <c r="E11" s="3"/>
      <c r="F11" s="3"/>
      <c r="G11" s="3"/>
      <c r="H11" s="2"/>
      <c r="I11" s="1"/>
    </row>
    <row r="12" spans="1:9" ht="22.8" x14ac:dyDescent="0.25">
      <c r="A12" s="151" t="s">
        <v>31</v>
      </c>
      <c r="B12" s="151"/>
      <c r="C12" s="151"/>
      <c r="D12" s="151"/>
      <c r="E12" s="151"/>
      <c r="F12" s="151"/>
      <c r="G12" s="151"/>
      <c r="H12" s="151"/>
      <c r="I12" s="151"/>
    </row>
    <row r="13" spans="1:9" ht="26.25" customHeight="1" x14ac:dyDescent="0.25">
      <c r="A13" s="24" t="s">
        <v>32</v>
      </c>
      <c r="B13" s="152" t="s">
        <v>33</v>
      </c>
      <c r="C13" s="152"/>
      <c r="D13" s="25" t="s">
        <v>34</v>
      </c>
      <c r="E13" s="152" t="s">
        <v>35</v>
      </c>
      <c r="F13" s="152"/>
      <c r="G13" s="25" t="s">
        <v>915</v>
      </c>
      <c r="H13" s="152" t="s">
        <v>81</v>
      </c>
      <c r="I13" s="152"/>
    </row>
    <row r="14" spans="1:9" ht="15.6" x14ac:dyDescent="0.25">
      <c r="A14" s="26" t="s">
        <v>36</v>
      </c>
      <c r="B14" s="27" t="s">
        <v>37</v>
      </c>
      <c r="C14" s="28">
        <f>SUM('Stavební rozpočet (SO 01.2)'!AB12:AB430)</f>
        <v>0</v>
      </c>
      <c r="D14" s="153" t="s">
        <v>38</v>
      </c>
      <c r="E14" s="153"/>
      <c r="F14" s="28">
        <f>'VORN objektu (SO 01.2)'!I15</f>
        <v>0</v>
      </c>
      <c r="G14" s="153" t="s">
        <v>82</v>
      </c>
      <c r="H14" s="153"/>
      <c r="I14" s="28">
        <f>'VORN objektu (SO 01.2)'!I21</f>
        <v>0</v>
      </c>
    </row>
    <row r="15" spans="1:9" ht="15.6" x14ac:dyDescent="0.25">
      <c r="A15" s="29"/>
      <c r="B15" s="27" t="s">
        <v>39</v>
      </c>
      <c r="C15" s="28">
        <f>SUM('Stavební rozpočet (SO 01.2)'!AC12:AC430)</f>
        <v>0</v>
      </c>
      <c r="D15" s="153" t="s">
        <v>40</v>
      </c>
      <c r="E15" s="153"/>
      <c r="F15" s="28">
        <f>'VORN objektu (SO 01.2)'!I16</f>
        <v>0</v>
      </c>
      <c r="G15" s="153" t="s">
        <v>83</v>
      </c>
      <c r="H15" s="153"/>
      <c r="I15" s="28">
        <f>'VORN objektu (SO 01.2)'!I22</f>
        <v>0</v>
      </c>
    </row>
    <row r="16" spans="1:9" ht="15.6" x14ac:dyDescent="0.25">
      <c r="A16" s="26" t="s">
        <v>41</v>
      </c>
      <c r="B16" s="27" t="s">
        <v>37</v>
      </c>
      <c r="C16" s="28">
        <f>SUM('Stavební rozpočet (SO 01.2)'!AD12:AD430)</f>
        <v>0</v>
      </c>
      <c r="D16" s="153" t="s">
        <v>42</v>
      </c>
      <c r="E16" s="153"/>
      <c r="F16" s="28">
        <f>'VORN objektu (SO 01.2)'!I17</f>
        <v>0</v>
      </c>
      <c r="G16" s="153" t="s">
        <v>84</v>
      </c>
      <c r="H16" s="153"/>
      <c r="I16" s="28">
        <f>'VORN objektu (SO 01.2)'!I23</f>
        <v>0</v>
      </c>
    </row>
    <row r="17" spans="1:9" ht="15.6" x14ac:dyDescent="0.25">
      <c r="A17" s="29"/>
      <c r="B17" s="27" t="s">
        <v>39</v>
      </c>
      <c r="C17" s="28">
        <f>SUM('Stavební rozpočet (SO 01.2)'!AE12:AE430)</f>
        <v>0</v>
      </c>
      <c r="D17" s="153"/>
      <c r="E17" s="153"/>
      <c r="F17" s="30"/>
      <c r="G17" s="153" t="s">
        <v>85</v>
      </c>
      <c r="H17" s="153"/>
      <c r="I17" s="28">
        <f>'VORN objektu (SO 01.2)'!I24</f>
        <v>0</v>
      </c>
    </row>
    <row r="18" spans="1:9" ht="15.6" x14ac:dyDescent="0.25">
      <c r="A18" s="26" t="s">
        <v>43</v>
      </c>
      <c r="B18" s="27" t="s">
        <v>37</v>
      </c>
      <c r="C18" s="28">
        <f>SUM('Stavební rozpočet (SO 01.2)'!AF12:AF430)</f>
        <v>0</v>
      </c>
      <c r="D18" s="153"/>
      <c r="E18" s="153"/>
      <c r="F18" s="30"/>
      <c r="G18" s="153" t="s">
        <v>86</v>
      </c>
      <c r="H18" s="153"/>
      <c r="I18" s="28">
        <f>'VORN objektu (SO 01.2)'!I25</f>
        <v>0</v>
      </c>
    </row>
    <row r="19" spans="1:9" ht="15.6" x14ac:dyDescent="0.25">
      <c r="A19" s="29"/>
      <c r="B19" s="27" t="s">
        <v>39</v>
      </c>
      <c r="C19" s="28">
        <f>SUM('Stavební rozpočet (SO 01.2)'!AG12:AG430)</f>
        <v>0</v>
      </c>
      <c r="D19" s="153"/>
      <c r="E19" s="153"/>
      <c r="F19" s="30"/>
      <c r="G19" s="153" t="s">
        <v>87</v>
      </c>
      <c r="H19" s="153"/>
      <c r="I19" s="28">
        <f>'VORN objektu (SO 01.2)'!I26</f>
        <v>0</v>
      </c>
    </row>
    <row r="20" spans="1:9" ht="15.6" x14ac:dyDescent="0.25">
      <c r="A20" s="154" t="s">
        <v>44</v>
      </c>
      <c r="B20" s="154"/>
      <c r="C20" s="28">
        <f>SUM('Stavební rozpočet (SO 01.2)'!AH12:AH430)</f>
        <v>0</v>
      </c>
      <c r="D20" s="153"/>
      <c r="E20" s="153"/>
      <c r="F20" s="30"/>
      <c r="G20" s="153"/>
      <c r="H20" s="153"/>
      <c r="I20" s="30"/>
    </row>
    <row r="21" spans="1:9" ht="15.6" x14ac:dyDescent="0.25">
      <c r="A21" s="155" t="s">
        <v>45</v>
      </c>
      <c r="B21" s="155"/>
      <c r="C21" s="31">
        <f>SUM('Stavební rozpočet (SO 01.2)'!Z12:Z430)</f>
        <v>0</v>
      </c>
      <c r="D21" s="156"/>
      <c r="E21" s="156"/>
      <c r="F21" s="32"/>
      <c r="G21" s="156"/>
      <c r="H21" s="156"/>
      <c r="I21" s="32"/>
    </row>
    <row r="22" spans="1:9" ht="16.5" customHeight="1" x14ac:dyDescent="0.25">
      <c r="A22" s="157" t="s">
        <v>46</v>
      </c>
      <c r="B22" s="157"/>
      <c r="C22" s="33">
        <f>ROUND(SUM(C14:C21),1)</f>
        <v>0</v>
      </c>
      <c r="D22" s="158" t="s">
        <v>47</v>
      </c>
      <c r="E22" s="158"/>
      <c r="F22" s="33">
        <f>SUM(F14:F21)</f>
        <v>0</v>
      </c>
      <c r="G22" s="158" t="s">
        <v>916</v>
      </c>
      <c r="H22" s="158"/>
      <c r="I22" s="33">
        <f>SUM(I14:I21)</f>
        <v>0</v>
      </c>
    </row>
    <row r="23" spans="1:9" ht="15.6" x14ac:dyDescent="0.3">
      <c r="G23" s="154" t="s">
        <v>917</v>
      </c>
      <c r="H23" s="154"/>
      <c r="I23" s="28">
        <f>'VORN objektu (SO 01.2)'!I36</f>
        <v>0</v>
      </c>
    </row>
    <row r="25" spans="1:9" ht="15.6" x14ac:dyDescent="0.3">
      <c r="A25" s="160" t="s">
        <v>49</v>
      </c>
      <c r="B25" s="160"/>
      <c r="C25" s="34">
        <f>ROUND(SUM('Stavební rozpočet (SO 01.2)'!AJ12:AJ430),1)</f>
        <v>0</v>
      </c>
      <c r="D25" s="35"/>
      <c r="E25" s="35"/>
      <c r="F25" s="35"/>
      <c r="G25" s="35"/>
      <c r="H25" s="35"/>
      <c r="I25" s="35"/>
    </row>
    <row r="26" spans="1:9" ht="15.6" x14ac:dyDescent="0.25">
      <c r="A26" s="161" t="s">
        <v>50</v>
      </c>
      <c r="B26" s="161"/>
      <c r="C26" s="36">
        <f>ROUND(SUM('Stavební rozpočet (SO 01.2)'!AK12:AK430),1)</f>
        <v>0</v>
      </c>
      <c r="D26" s="162" t="s">
        <v>51</v>
      </c>
      <c r="E26" s="162"/>
      <c r="F26" s="34">
        <f>ROUND(C26*(12/100),2)</f>
        <v>0</v>
      </c>
      <c r="G26" s="162" t="s">
        <v>52</v>
      </c>
      <c r="H26" s="162"/>
      <c r="I26" s="34">
        <f>ROUND(SUM(C25:C27),1)</f>
        <v>0</v>
      </c>
    </row>
    <row r="27" spans="1:9" ht="15.6" x14ac:dyDescent="0.25">
      <c r="A27" s="161" t="s">
        <v>53</v>
      </c>
      <c r="B27" s="161"/>
      <c r="C27" s="36">
        <f>ROUND(SUM('Stavební rozpočet (SO 01.2)'!AL12:AL430)+(F22+I22+F23+I23+I24),1)</f>
        <v>0</v>
      </c>
      <c r="D27" s="163" t="s">
        <v>54</v>
      </c>
      <c r="E27" s="163"/>
      <c r="F27" s="36">
        <f>ROUND(C27*(21/100),2)</f>
        <v>0</v>
      </c>
      <c r="G27" s="163" t="s">
        <v>55</v>
      </c>
      <c r="H27" s="163"/>
      <c r="I27" s="36">
        <f>ROUND(SUM(F26:F27)+I26,1)</f>
        <v>0</v>
      </c>
    </row>
    <row r="29" spans="1:9" ht="15" x14ac:dyDescent="0.25">
      <c r="A29" s="164" t="s">
        <v>56</v>
      </c>
      <c r="B29" s="164"/>
      <c r="C29" s="164"/>
      <c r="D29" s="165" t="s">
        <v>57</v>
      </c>
      <c r="E29" s="165"/>
      <c r="F29" s="165"/>
      <c r="G29" s="165" t="s">
        <v>58</v>
      </c>
      <c r="H29" s="165"/>
      <c r="I29" s="165"/>
    </row>
    <row r="30" spans="1:9" ht="15" x14ac:dyDescent="0.25">
      <c r="A30" s="166"/>
      <c r="B30" s="166"/>
      <c r="C30" s="166"/>
      <c r="D30" s="167"/>
      <c r="E30" s="167"/>
      <c r="F30" s="167"/>
      <c r="G30" s="167"/>
      <c r="H30" s="167"/>
      <c r="I30" s="167"/>
    </row>
    <row r="31" spans="1:9" ht="15" x14ac:dyDescent="0.25">
      <c r="A31" s="166"/>
      <c r="B31" s="166"/>
      <c r="C31" s="166"/>
      <c r="D31" s="167"/>
      <c r="E31" s="167"/>
      <c r="F31" s="167"/>
      <c r="G31" s="167"/>
      <c r="H31" s="167"/>
      <c r="I31" s="167"/>
    </row>
    <row r="32" spans="1:9" ht="15" x14ac:dyDescent="0.25">
      <c r="A32" s="166"/>
      <c r="B32" s="166"/>
      <c r="C32" s="166"/>
      <c r="D32" s="167"/>
      <c r="E32" s="167"/>
      <c r="F32" s="167"/>
      <c r="G32" s="167"/>
      <c r="H32" s="167"/>
      <c r="I32" s="167"/>
    </row>
    <row r="33" spans="1:9" ht="15" x14ac:dyDescent="0.25">
      <c r="A33" s="168" t="s">
        <v>59</v>
      </c>
      <c r="B33" s="168"/>
      <c r="C33" s="168"/>
      <c r="D33" s="169" t="s">
        <v>59</v>
      </c>
      <c r="E33" s="169"/>
      <c r="F33" s="169"/>
      <c r="G33" s="169" t="s">
        <v>59</v>
      </c>
      <c r="H33" s="169"/>
      <c r="I33" s="169"/>
    </row>
    <row r="34" spans="1:9" x14ac:dyDescent="0.3">
      <c r="A34"/>
    </row>
    <row r="35" spans="1:9" ht="12.75" hidden="1" customHeight="1" x14ac:dyDescent="0.25">
      <c r="A35" s="8"/>
      <c r="B35" s="8"/>
      <c r="C35" s="8"/>
      <c r="D35" s="8"/>
      <c r="E35" s="8"/>
      <c r="F35" s="8"/>
      <c r="G35" s="8"/>
      <c r="H35" s="8"/>
      <c r="I35" s="8"/>
    </row>
  </sheetData>
  <mergeCells count="80">
    <mergeCell ref="A35:I35"/>
    <mergeCell ref="A32:C32"/>
    <mergeCell ref="D32:F32"/>
    <mergeCell ref="G32:I32"/>
    <mergeCell ref="A33:C33"/>
    <mergeCell ref="D33:F33"/>
    <mergeCell ref="G33:I33"/>
    <mergeCell ref="A30:C30"/>
    <mergeCell ref="D30:F30"/>
    <mergeCell ref="G30:I30"/>
    <mergeCell ref="A31:C31"/>
    <mergeCell ref="D31:F31"/>
    <mergeCell ref="G31:I31"/>
    <mergeCell ref="A27:B27"/>
    <mergeCell ref="D27:E27"/>
    <mergeCell ref="G27:H27"/>
    <mergeCell ref="A29:C29"/>
    <mergeCell ref="D29:F29"/>
    <mergeCell ref="G29:I29"/>
    <mergeCell ref="G23:H23"/>
    <mergeCell ref="A25:B25"/>
    <mergeCell ref="A26:B26"/>
    <mergeCell ref="D26:E26"/>
    <mergeCell ref="G26:H26"/>
    <mergeCell ref="A21:B21"/>
    <mergeCell ref="D21:E21"/>
    <mergeCell ref="G21:H21"/>
    <mergeCell ref="A22:B22"/>
    <mergeCell ref="D22:E22"/>
    <mergeCell ref="G22:H22"/>
    <mergeCell ref="D18:E18"/>
    <mergeCell ref="G18:H18"/>
    <mergeCell ref="D19:E19"/>
    <mergeCell ref="G19:H19"/>
    <mergeCell ref="A20:B20"/>
    <mergeCell ref="D20:E20"/>
    <mergeCell ref="G20:H20"/>
    <mergeCell ref="D15:E15"/>
    <mergeCell ref="G15:H15"/>
    <mergeCell ref="D16:E16"/>
    <mergeCell ref="G16:H16"/>
    <mergeCell ref="D17:E17"/>
    <mergeCell ref="G17:H17"/>
    <mergeCell ref="A12:I12"/>
    <mergeCell ref="B13:C13"/>
    <mergeCell ref="E13:F13"/>
    <mergeCell ref="H13:I13"/>
    <mergeCell ref="D14:E14"/>
    <mergeCell ref="G14:H14"/>
    <mergeCell ref="I8:I9"/>
    <mergeCell ref="A10:B11"/>
    <mergeCell ref="C10:D11"/>
    <mergeCell ref="E10:E11"/>
    <mergeCell ref="F10:G11"/>
    <mergeCell ref="H10:H11"/>
    <mergeCell ref="I10:I11"/>
    <mergeCell ref="A8:B9"/>
    <mergeCell ref="C8:D9"/>
    <mergeCell ref="E8:E9"/>
    <mergeCell ref="F8:G9"/>
    <mergeCell ref="H8:H9"/>
    <mergeCell ref="I4:I5"/>
    <mergeCell ref="A6:B7"/>
    <mergeCell ref="C6:D7"/>
    <mergeCell ref="E6:E7"/>
    <mergeCell ref="F6:G7"/>
    <mergeCell ref="H6:H7"/>
    <mergeCell ref="I6:I7"/>
    <mergeCell ref="A4:B5"/>
    <mergeCell ref="C4:D5"/>
    <mergeCell ref="E4:E5"/>
    <mergeCell ref="F4:G5"/>
    <mergeCell ref="H4:H5"/>
    <mergeCell ref="A1:I1"/>
    <mergeCell ref="A2:B3"/>
    <mergeCell ref="C2:D3"/>
    <mergeCell ref="E2:E3"/>
    <mergeCell ref="F2:G3"/>
    <mergeCell ref="H2:H3"/>
    <mergeCell ref="I2:I3"/>
  </mergeCells>
  <pageMargins left="0.39374999999999999" right="0.39374999999999999" top="0.59097222222222201" bottom="0.59097222222222201" header="0.511811023622047" footer="0.511811023622047"/>
  <pageSetup orientation="landscape"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I36"/>
  <sheetViews>
    <sheetView zoomScaleNormal="100" workbookViewId="0">
      <selection activeCell="A36" sqref="A36"/>
    </sheetView>
  </sheetViews>
  <sheetFormatPr defaultColWidth="12.109375" defaultRowHeight="14.4" x14ac:dyDescent="0.3"/>
  <cols>
    <col min="1" max="1" width="9.109375" style="22" customWidth="1"/>
    <col min="2" max="2" width="12.88671875" style="22" customWidth="1"/>
    <col min="3" max="3" width="22.88671875" style="22" customWidth="1"/>
    <col min="4" max="4" width="10" style="22" customWidth="1"/>
    <col min="5" max="5" width="14" style="22" customWidth="1"/>
    <col min="6" max="6" width="22.88671875" style="22" customWidth="1"/>
    <col min="7" max="7" width="9.109375" style="22" customWidth="1"/>
    <col min="8" max="8" width="17.109375" style="22" customWidth="1"/>
    <col min="9" max="9" width="22.88671875" style="22" customWidth="1"/>
  </cols>
  <sheetData>
    <row r="1" spans="1:9" ht="54.75" customHeight="1" x14ac:dyDescent="0.25">
      <c r="A1" s="172" t="s">
        <v>923</v>
      </c>
      <c r="B1" s="172"/>
      <c r="C1" s="172"/>
      <c r="D1" s="172"/>
      <c r="E1" s="172"/>
      <c r="F1" s="172"/>
      <c r="G1" s="172"/>
      <c r="H1" s="172"/>
      <c r="I1" s="172"/>
    </row>
    <row r="2" spans="1:9" ht="15" customHeight="1" x14ac:dyDescent="0.25">
      <c r="A2" s="13" t="s">
        <v>1</v>
      </c>
      <c r="B2" s="13"/>
      <c r="C2" s="12" t="str">
        <f>'Stavební rozpočet'!D2</f>
        <v>DEMOLICE PANELOVÉHO DOMU V HORNÍM PARKU</v>
      </c>
      <c r="D2" s="12"/>
      <c r="E2" s="11" t="s">
        <v>2</v>
      </c>
      <c r="F2" s="11" t="str">
        <f>'Stavební rozpočet'!J2</f>
        <v>MĚSTO ZNOJMO</v>
      </c>
      <c r="G2" s="11"/>
      <c r="H2" s="11" t="s">
        <v>3</v>
      </c>
      <c r="I2" s="10"/>
    </row>
    <row r="3" spans="1:9" ht="15" customHeight="1" x14ac:dyDescent="0.25">
      <c r="A3" s="13"/>
      <c r="B3" s="13"/>
      <c r="C3" s="12"/>
      <c r="D3" s="12"/>
      <c r="E3" s="11"/>
      <c r="F3" s="11"/>
      <c r="G3" s="11"/>
      <c r="H3" s="11"/>
      <c r="I3" s="10"/>
    </row>
    <row r="4" spans="1:9" ht="15" customHeight="1" x14ac:dyDescent="0.25">
      <c r="A4" s="9" t="s">
        <v>4</v>
      </c>
      <c r="B4" s="9"/>
      <c r="C4" s="8" t="str">
        <f>'Stavební rozpočet'!D4</f>
        <v>Postupná demolice panelového domu</v>
      </c>
      <c r="D4" s="8"/>
      <c r="E4" s="8" t="s">
        <v>5</v>
      </c>
      <c r="F4" s="8" t="str">
        <f>'Stavební rozpočet'!J4</f>
        <v>Ing.  Roman Zvěřina, Dolní Česká 358/25, 669 02 Znojmo</v>
      </c>
      <c r="G4" s="8"/>
      <c r="H4" s="8" t="s">
        <v>3</v>
      </c>
      <c r="I4" s="7" t="s">
        <v>6</v>
      </c>
    </row>
    <row r="5" spans="1:9" ht="15" customHeight="1" x14ac:dyDescent="0.25">
      <c r="A5" s="9"/>
      <c r="B5" s="9"/>
      <c r="C5" s="8"/>
      <c r="D5" s="8"/>
      <c r="E5" s="8"/>
      <c r="F5" s="8"/>
      <c r="G5" s="8"/>
      <c r="H5" s="8"/>
      <c r="I5" s="7"/>
    </row>
    <row r="6" spans="1:9" ht="15" customHeight="1" x14ac:dyDescent="0.25">
      <c r="A6" s="9" t="s">
        <v>7</v>
      </c>
      <c r="B6" s="9"/>
      <c r="C6" s="8" t="str">
        <f>'Stavební rozpočet'!D6</f>
        <v>k.ú.Znojmo-město parc.č.258/5</v>
      </c>
      <c r="D6" s="8"/>
      <c r="E6" s="8" t="s">
        <v>8</v>
      </c>
      <c r="F6" s="8" t="str">
        <f>'Stavební rozpočet'!J6</f>
        <v> </v>
      </c>
      <c r="G6" s="8"/>
      <c r="H6" s="8" t="s">
        <v>3</v>
      </c>
      <c r="I6" s="7"/>
    </row>
    <row r="7" spans="1:9" ht="15" customHeight="1" x14ac:dyDescent="0.25">
      <c r="A7" s="9"/>
      <c r="B7" s="9"/>
      <c r="C7" s="8"/>
      <c r="D7" s="8"/>
      <c r="E7" s="8"/>
      <c r="F7" s="8"/>
      <c r="G7" s="8"/>
      <c r="H7" s="8"/>
      <c r="I7" s="7"/>
    </row>
    <row r="8" spans="1:9" ht="15" customHeight="1" x14ac:dyDescent="0.25">
      <c r="A8" s="9" t="s">
        <v>9</v>
      </c>
      <c r="B8" s="9"/>
      <c r="C8" s="8" t="str">
        <f>'Stavební rozpočet'!H4</f>
        <v xml:space="preserve"> </v>
      </c>
      <c r="D8" s="8"/>
      <c r="E8" s="8" t="s">
        <v>10</v>
      </c>
      <c r="F8" s="8" t="str">
        <f>'Stavební rozpočet'!H6</f>
        <v xml:space="preserve"> </v>
      </c>
      <c r="G8" s="8"/>
      <c r="H8" s="6" t="s">
        <v>11</v>
      </c>
      <c r="I8" s="5">
        <v>11</v>
      </c>
    </row>
    <row r="9" spans="1:9" ht="13.2" x14ac:dyDescent="0.25">
      <c r="A9" s="9"/>
      <c r="B9" s="9"/>
      <c r="C9" s="8"/>
      <c r="D9" s="8"/>
      <c r="E9" s="8"/>
      <c r="F9" s="8"/>
      <c r="G9" s="8"/>
      <c r="H9" s="6"/>
      <c r="I9" s="5"/>
    </row>
    <row r="10" spans="1:9" ht="15" customHeight="1" x14ac:dyDescent="0.25">
      <c r="A10" s="4" t="s">
        <v>12</v>
      </c>
      <c r="B10" s="4"/>
      <c r="C10" s="3" t="str">
        <f>'Stavební rozpočet'!D8</f>
        <v>80331</v>
      </c>
      <c r="D10" s="3"/>
      <c r="E10" s="3" t="s">
        <v>13</v>
      </c>
      <c r="F10" s="3" t="str">
        <f>'Stavební rozpočet'!J8</f>
        <v>Bohuslav Hemala</v>
      </c>
      <c r="G10" s="3"/>
      <c r="H10" s="2" t="s">
        <v>14</v>
      </c>
      <c r="I10" s="1" t="str">
        <f>'Stavební rozpočet'!H8</f>
        <v>16.05.2025</v>
      </c>
    </row>
    <row r="11" spans="1:9" ht="13.2" x14ac:dyDescent="0.25">
      <c r="A11" s="4"/>
      <c r="B11" s="4"/>
      <c r="C11" s="3"/>
      <c r="D11" s="3"/>
      <c r="E11" s="3"/>
      <c r="F11" s="3"/>
      <c r="G11" s="3"/>
      <c r="H11" s="2"/>
      <c r="I11" s="1"/>
    </row>
    <row r="13" spans="1:9" ht="15.6" x14ac:dyDescent="0.3">
      <c r="A13" s="173" t="s">
        <v>75</v>
      </c>
      <c r="B13" s="173"/>
      <c r="C13" s="173"/>
      <c r="D13" s="173"/>
      <c r="E13" s="173"/>
    </row>
    <row r="14" spans="1:9" ht="13.2" x14ac:dyDescent="0.25">
      <c r="A14" s="174" t="s">
        <v>76</v>
      </c>
      <c r="B14" s="174"/>
      <c r="C14" s="174"/>
      <c r="D14" s="174"/>
      <c r="E14" s="174"/>
      <c r="F14" s="39" t="s">
        <v>77</v>
      </c>
      <c r="G14" s="39" t="s">
        <v>78</v>
      </c>
      <c r="H14" s="39" t="s">
        <v>79</v>
      </c>
      <c r="I14" s="39" t="s">
        <v>77</v>
      </c>
    </row>
    <row r="15" spans="1:9" ht="13.2" x14ac:dyDescent="0.25">
      <c r="A15" s="175" t="s">
        <v>38</v>
      </c>
      <c r="B15" s="175"/>
      <c r="C15" s="175"/>
      <c r="D15" s="175"/>
      <c r="E15" s="175"/>
      <c r="F15" s="40">
        <v>0</v>
      </c>
      <c r="G15" s="41"/>
      <c r="H15" s="41"/>
      <c r="I15" s="40">
        <f>F15</f>
        <v>0</v>
      </c>
    </row>
    <row r="16" spans="1:9" ht="13.2" x14ac:dyDescent="0.25">
      <c r="A16" s="175" t="s">
        <v>40</v>
      </c>
      <c r="B16" s="175"/>
      <c r="C16" s="175"/>
      <c r="D16" s="175"/>
      <c r="E16" s="175"/>
      <c r="F16" s="40">
        <v>0</v>
      </c>
      <c r="G16" s="41"/>
      <c r="H16" s="41"/>
      <c r="I16" s="40">
        <f>F16</f>
        <v>0</v>
      </c>
    </row>
    <row r="17" spans="1:9" ht="13.2" x14ac:dyDescent="0.25">
      <c r="A17" s="176" t="s">
        <v>42</v>
      </c>
      <c r="B17" s="176"/>
      <c r="C17" s="176"/>
      <c r="D17" s="176"/>
      <c r="E17" s="176"/>
      <c r="F17" s="42">
        <v>0</v>
      </c>
      <c r="G17" s="17"/>
      <c r="H17" s="17"/>
      <c r="I17" s="42">
        <f>F17</f>
        <v>0</v>
      </c>
    </row>
    <row r="18" spans="1:9" ht="13.2" x14ac:dyDescent="0.25">
      <c r="A18" s="177" t="s">
        <v>80</v>
      </c>
      <c r="B18" s="177"/>
      <c r="C18" s="177"/>
      <c r="D18" s="177"/>
      <c r="E18" s="177"/>
      <c r="F18" s="43"/>
      <c r="G18" s="44"/>
      <c r="H18" s="44"/>
      <c r="I18" s="45">
        <f>SUM(I15:I17)</f>
        <v>0</v>
      </c>
    </row>
    <row r="20" spans="1:9" ht="13.2" x14ac:dyDescent="0.25">
      <c r="A20" s="174" t="s">
        <v>81</v>
      </c>
      <c r="B20" s="174"/>
      <c r="C20" s="174"/>
      <c r="D20" s="174"/>
      <c r="E20" s="174"/>
      <c r="F20" s="39" t="s">
        <v>77</v>
      </c>
      <c r="G20" s="39" t="s">
        <v>78</v>
      </c>
      <c r="H20" s="39" t="s">
        <v>79</v>
      </c>
      <c r="I20" s="39" t="s">
        <v>77</v>
      </c>
    </row>
    <row r="21" spans="1:9" ht="13.2" x14ac:dyDescent="0.25">
      <c r="A21" s="175" t="s">
        <v>82</v>
      </c>
      <c r="B21" s="175"/>
      <c r="C21" s="175"/>
      <c r="D21" s="175"/>
      <c r="E21" s="175"/>
      <c r="F21" s="40">
        <v>0</v>
      </c>
      <c r="G21" s="41"/>
      <c r="H21" s="41"/>
      <c r="I21" s="40">
        <f t="shared" ref="I21:I26" si="0">F21</f>
        <v>0</v>
      </c>
    </row>
    <row r="22" spans="1:9" ht="13.2" x14ac:dyDescent="0.25">
      <c r="A22" s="175" t="s">
        <v>83</v>
      </c>
      <c r="B22" s="175"/>
      <c r="C22" s="175"/>
      <c r="D22" s="175"/>
      <c r="E22" s="175"/>
      <c r="F22" s="40">
        <v>0</v>
      </c>
      <c r="G22" s="41"/>
      <c r="H22" s="41"/>
      <c r="I22" s="40">
        <f t="shared" si="0"/>
        <v>0</v>
      </c>
    </row>
    <row r="23" spans="1:9" ht="13.2" x14ac:dyDescent="0.25">
      <c r="A23" s="175" t="s">
        <v>84</v>
      </c>
      <c r="B23" s="175"/>
      <c r="C23" s="175"/>
      <c r="D23" s="175"/>
      <c r="E23" s="175"/>
      <c r="F23" s="40">
        <v>0</v>
      </c>
      <c r="G23" s="41"/>
      <c r="H23" s="41"/>
      <c r="I23" s="40">
        <f t="shared" si="0"/>
        <v>0</v>
      </c>
    </row>
    <row r="24" spans="1:9" ht="13.2" x14ac:dyDescent="0.25">
      <c r="A24" s="175" t="s">
        <v>85</v>
      </c>
      <c r="B24" s="175"/>
      <c r="C24" s="175"/>
      <c r="D24" s="175"/>
      <c r="E24" s="175"/>
      <c r="F24" s="40">
        <v>0</v>
      </c>
      <c r="G24" s="41"/>
      <c r="H24" s="41"/>
      <c r="I24" s="40">
        <f t="shared" si="0"/>
        <v>0</v>
      </c>
    </row>
    <row r="25" spans="1:9" ht="13.2" x14ac:dyDescent="0.25">
      <c r="A25" s="175" t="s">
        <v>86</v>
      </c>
      <c r="B25" s="175"/>
      <c r="C25" s="175"/>
      <c r="D25" s="175"/>
      <c r="E25" s="175"/>
      <c r="F25" s="40">
        <v>0</v>
      </c>
      <c r="G25" s="41"/>
      <c r="H25" s="41"/>
      <c r="I25" s="40">
        <f t="shared" si="0"/>
        <v>0</v>
      </c>
    </row>
    <row r="26" spans="1:9" ht="13.2" x14ac:dyDescent="0.25">
      <c r="A26" s="176" t="s">
        <v>87</v>
      </c>
      <c r="B26" s="176"/>
      <c r="C26" s="176"/>
      <c r="D26" s="176"/>
      <c r="E26" s="176"/>
      <c r="F26" s="42">
        <v>0</v>
      </c>
      <c r="G26" s="17"/>
      <c r="H26" s="17"/>
      <c r="I26" s="42">
        <f t="shared" si="0"/>
        <v>0</v>
      </c>
    </row>
    <row r="27" spans="1:9" ht="13.2" x14ac:dyDescent="0.25">
      <c r="A27" s="177" t="s">
        <v>88</v>
      </c>
      <c r="B27" s="177"/>
      <c r="C27" s="177"/>
      <c r="D27" s="177"/>
      <c r="E27" s="177"/>
      <c r="F27" s="43"/>
      <c r="G27" s="44"/>
      <c r="H27" s="44"/>
      <c r="I27" s="45">
        <f>SUM(I21:I26)</f>
        <v>0</v>
      </c>
    </row>
    <row r="29" spans="1:9" ht="15.6" x14ac:dyDescent="0.25">
      <c r="A29" s="178" t="s">
        <v>89</v>
      </c>
      <c r="B29" s="178"/>
      <c r="C29" s="178"/>
      <c r="D29" s="178"/>
      <c r="E29" s="178"/>
      <c r="F29" s="179">
        <f>I18+I27</f>
        <v>0</v>
      </c>
      <c r="G29" s="179"/>
      <c r="H29" s="179"/>
      <c r="I29" s="179"/>
    </row>
    <row r="33" spans="1:9" ht="15.6" x14ac:dyDescent="0.3">
      <c r="A33" s="173" t="s">
        <v>90</v>
      </c>
      <c r="B33" s="173"/>
      <c r="C33" s="173"/>
      <c r="D33" s="173"/>
      <c r="E33" s="173"/>
    </row>
    <row r="34" spans="1:9" ht="13.2" x14ac:dyDescent="0.25">
      <c r="A34" s="174" t="s">
        <v>91</v>
      </c>
      <c r="B34" s="174"/>
      <c r="C34" s="174"/>
      <c r="D34" s="174"/>
      <c r="E34" s="174"/>
      <c r="F34" s="39" t="s">
        <v>77</v>
      </c>
      <c r="G34" s="39" t="s">
        <v>78</v>
      </c>
      <c r="H34" s="39" t="s">
        <v>79</v>
      </c>
      <c r="I34" s="39" t="s">
        <v>77</v>
      </c>
    </row>
    <row r="35" spans="1:9" ht="13.2" x14ac:dyDescent="0.25">
      <c r="A35" s="176"/>
      <c r="B35" s="176"/>
      <c r="C35" s="176"/>
      <c r="D35" s="176"/>
      <c r="E35" s="176"/>
      <c r="F35" s="42">
        <v>0</v>
      </c>
      <c r="G35" s="17"/>
      <c r="H35" s="17"/>
      <c r="I35" s="42">
        <f>F35</f>
        <v>0</v>
      </c>
    </row>
    <row r="36" spans="1:9" ht="13.2" x14ac:dyDescent="0.25">
      <c r="A36" s="177" t="s">
        <v>92</v>
      </c>
      <c r="B36" s="177"/>
      <c r="C36" s="177"/>
      <c r="D36" s="177"/>
      <c r="E36" s="177"/>
      <c r="F36" s="43"/>
      <c r="G36" s="44"/>
      <c r="H36" s="44"/>
      <c r="I36" s="45">
        <f>SUM(I35)</f>
        <v>0</v>
      </c>
    </row>
  </sheetData>
  <mergeCells count="51">
    <mergeCell ref="F29:I29"/>
    <mergeCell ref="A33:E33"/>
    <mergeCell ref="A34:E34"/>
    <mergeCell ref="A35:E35"/>
    <mergeCell ref="A36:E36"/>
    <mergeCell ref="A24:E24"/>
    <mergeCell ref="A25:E25"/>
    <mergeCell ref="A26:E26"/>
    <mergeCell ref="A27:E27"/>
    <mergeCell ref="A29:E29"/>
    <mergeCell ref="A18:E18"/>
    <mergeCell ref="A20:E20"/>
    <mergeCell ref="A21:E21"/>
    <mergeCell ref="A22:E22"/>
    <mergeCell ref="A23:E23"/>
    <mergeCell ref="A13:E13"/>
    <mergeCell ref="A14:E14"/>
    <mergeCell ref="A15:E15"/>
    <mergeCell ref="A16:E16"/>
    <mergeCell ref="A17:E17"/>
    <mergeCell ref="I8:I9"/>
    <mergeCell ref="A10:B11"/>
    <mergeCell ref="C10:D11"/>
    <mergeCell ref="E10:E11"/>
    <mergeCell ref="F10:G11"/>
    <mergeCell ref="H10:H11"/>
    <mergeCell ref="I10:I11"/>
    <mergeCell ref="A8:B9"/>
    <mergeCell ref="C8:D9"/>
    <mergeCell ref="E8:E9"/>
    <mergeCell ref="F8:G9"/>
    <mergeCell ref="H8:H9"/>
    <mergeCell ref="I4:I5"/>
    <mergeCell ref="A6:B7"/>
    <mergeCell ref="C6:D7"/>
    <mergeCell ref="E6:E7"/>
    <mergeCell ref="F6:G7"/>
    <mergeCell ref="H6:H7"/>
    <mergeCell ref="I6:I7"/>
    <mergeCell ref="A4:B5"/>
    <mergeCell ref="C4:D5"/>
    <mergeCell ref="E4:E5"/>
    <mergeCell ref="F4:G5"/>
    <mergeCell ref="H4:H5"/>
    <mergeCell ref="A1:I1"/>
    <mergeCell ref="A2:B3"/>
    <mergeCell ref="C2:D3"/>
    <mergeCell ref="E2:E3"/>
    <mergeCell ref="F2:G3"/>
    <mergeCell ref="H2:H3"/>
    <mergeCell ref="I2:I3"/>
  </mergeCells>
  <pageMargins left="0.39374999999999999" right="0.39374999999999999" top="0.59097222222222201" bottom="0.59097222222222201" header="0.511811023622047" footer="0.511811023622047"/>
  <pageSetup fitToHeight="0" orientation="landscape"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BDB76B"/>
    <pageSetUpPr fitToPage="1"/>
  </sheetPr>
  <dimension ref="A1:BZ32"/>
  <sheetViews>
    <sheetView zoomScaleNormal="100" workbookViewId="0">
      <pane ySplit="11" topLeftCell="A12" activePane="bottomLeft" state="frozen"/>
      <selection pane="bottomLeft"/>
    </sheetView>
  </sheetViews>
  <sheetFormatPr defaultColWidth="12.109375" defaultRowHeight="14.4" x14ac:dyDescent="0.3"/>
  <cols>
    <col min="1" max="1" width="4" style="22" customWidth="1"/>
    <col min="2" max="2" width="7.6640625" style="22" customWidth="1"/>
    <col min="3" max="3" width="13.88671875" style="22" customWidth="1"/>
    <col min="4" max="4" width="28.5546875" style="65" customWidth="1"/>
    <col min="5" max="5" width="23.5546875" style="22" customWidth="1"/>
    <col min="6" max="6" width="4.33203125" style="22" customWidth="1"/>
    <col min="7" max="7" width="11" style="66" customWidth="1"/>
    <col min="8" max="8" width="12" style="22" customWidth="1"/>
    <col min="9" max="9" width="11.109375" style="22" customWidth="1"/>
    <col min="10" max="10" width="10.6640625" style="22" customWidth="1"/>
    <col min="11" max="11" width="13.44140625" style="22" customWidth="1"/>
    <col min="12" max="13" width="15.6640625" style="22" customWidth="1"/>
    <col min="14" max="14" width="7.44140625" style="22" customWidth="1"/>
    <col min="15" max="15" width="8.33203125" style="22" customWidth="1"/>
    <col min="16" max="16" width="11.77734375" style="22" customWidth="1"/>
    <col min="25" max="75" width="12.109375" style="22" hidden="1"/>
    <col min="76" max="76" width="64.33203125" style="22" hidden="1" customWidth="1"/>
    <col min="77" max="78" width="12.109375" style="22" hidden="1"/>
  </cols>
  <sheetData>
    <row r="1" spans="1:76" ht="39.75" customHeight="1" x14ac:dyDescent="0.3">
      <c r="A1" s="205" t="s">
        <v>924</v>
      </c>
      <c r="B1" s="205"/>
      <c r="C1" s="205"/>
      <c r="D1" s="205"/>
      <c r="E1" s="205"/>
      <c r="F1" s="205"/>
      <c r="G1" s="205"/>
      <c r="H1" s="205"/>
      <c r="I1" s="205"/>
      <c r="J1" s="205"/>
      <c r="K1" s="205"/>
      <c r="L1" s="205"/>
      <c r="M1" s="205"/>
      <c r="N1" s="205"/>
      <c r="O1" s="205"/>
      <c r="P1" s="205"/>
      <c r="AS1" s="68">
        <f>SUM(AJ1:AJ2)</f>
        <v>0</v>
      </c>
      <c r="AT1" s="68">
        <f>SUM(AK1:AK2)</f>
        <v>0</v>
      </c>
      <c r="AU1" s="68">
        <f>SUM(AL1:AL2)</f>
        <v>0</v>
      </c>
    </row>
    <row r="2" spans="1:76" ht="15" customHeight="1" x14ac:dyDescent="0.3">
      <c r="A2" s="13" t="s">
        <v>1</v>
      </c>
      <c r="B2" s="13"/>
      <c r="C2" s="13"/>
      <c r="D2" s="12" t="str">
        <f>'Stavební rozpočet'!D2</f>
        <v>DEMOLICE PANELOVÉHO DOMU V HORNÍM PARKU</v>
      </c>
      <c r="E2" s="12"/>
      <c r="F2" s="193" t="s">
        <v>94</v>
      </c>
      <c r="G2" s="193"/>
      <c r="H2" s="11" t="str">
        <f>'Stavební rozpočet'!H2</f>
        <v xml:space="preserve"> </v>
      </c>
      <c r="I2" s="11" t="s">
        <v>2</v>
      </c>
      <c r="J2" s="11"/>
      <c r="K2" s="181" t="str">
        <f>'Stavební rozpočet'!J2</f>
        <v>MĚSTO ZNOJMO</v>
      </c>
      <c r="L2" s="181"/>
      <c r="M2" s="181"/>
      <c r="N2" s="181"/>
      <c r="O2" s="181"/>
      <c r="P2" s="181"/>
    </row>
    <row r="3" spans="1:76" x14ac:dyDescent="0.3">
      <c r="A3" s="13"/>
      <c r="B3" s="13"/>
      <c r="C3" s="13"/>
      <c r="D3" s="12"/>
      <c r="E3" s="12"/>
      <c r="F3" s="193"/>
      <c r="G3" s="193"/>
      <c r="H3" s="11"/>
      <c r="I3" s="11"/>
      <c r="J3" s="11"/>
      <c r="K3" s="181"/>
      <c r="L3" s="181"/>
      <c r="M3" s="181"/>
      <c r="N3" s="181"/>
      <c r="O3" s="181"/>
      <c r="P3" s="181"/>
    </row>
    <row r="4" spans="1:76" ht="15" customHeight="1" x14ac:dyDescent="0.3">
      <c r="A4" s="9" t="s">
        <v>4</v>
      </c>
      <c r="B4" s="9"/>
      <c r="C4" s="9"/>
      <c r="D4" s="8" t="str">
        <f>'Stavební rozpočet'!D4</f>
        <v>Postupná demolice panelového domu</v>
      </c>
      <c r="E4" s="8"/>
      <c r="F4" s="6" t="s">
        <v>9</v>
      </c>
      <c r="G4" s="6"/>
      <c r="H4" s="8" t="str">
        <f>'Stavební rozpočet'!H4</f>
        <v xml:space="preserve"> </v>
      </c>
      <c r="I4" s="8" t="s">
        <v>5</v>
      </c>
      <c r="J4" s="8"/>
      <c r="K4" s="182" t="str">
        <f>'Stavební rozpočet'!J4</f>
        <v>Ing.  Roman Zvěřina, Dolní Česká 358/25, 669 02 Znojmo</v>
      </c>
      <c r="L4" s="182"/>
      <c r="M4" s="182"/>
      <c r="N4" s="182"/>
      <c r="O4" s="182"/>
      <c r="P4" s="182"/>
    </row>
    <row r="5" spans="1:76" x14ac:dyDescent="0.3">
      <c r="A5" s="9"/>
      <c r="B5" s="9"/>
      <c r="C5" s="9"/>
      <c r="D5" s="8"/>
      <c r="E5" s="8"/>
      <c r="F5" s="6"/>
      <c r="G5" s="6"/>
      <c r="H5" s="8"/>
      <c r="I5" s="8"/>
      <c r="J5" s="8"/>
      <c r="K5" s="182"/>
      <c r="L5" s="182"/>
      <c r="M5" s="182"/>
      <c r="N5" s="182"/>
      <c r="O5" s="182"/>
      <c r="P5" s="182"/>
    </row>
    <row r="6" spans="1:76" ht="15" customHeight="1" x14ac:dyDescent="0.3">
      <c r="A6" s="9" t="s">
        <v>7</v>
      </c>
      <c r="B6" s="9"/>
      <c r="C6" s="9"/>
      <c r="D6" s="8" t="str">
        <f>'Stavební rozpočet'!D6</f>
        <v>k.ú.Znojmo-město parc.č.258/5</v>
      </c>
      <c r="E6" s="8"/>
      <c r="F6" s="6" t="s">
        <v>10</v>
      </c>
      <c r="G6" s="6"/>
      <c r="H6" s="8" t="str">
        <f>'Stavební rozpočet'!H6</f>
        <v xml:space="preserve"> </v>
      </c>
      <c r="I6" s="8" t="s">
        <v>8</v>
      </c>
      <c r="J6" s="8"/>
      <c r="K6" s="182" t="str">
        <f>'Stavební rozpočet'!J6</f>
        <v> </v>
      </c>
      <c r="L6" s="182"/>
      <c r="M6" s="182"/>
      <c r="N6" s="182"/>
      <c r="O6" s="182"/>
      <c r="P6" s="182"/>
    </row>
    <row r="7" spans="1:76" x14ac:dyDescent="0.3">
      <c r="A7" s="9"/>
      <c r="B7" s="9"/>
      <c r="C7" s="9"/>
      <c r="D7" s="8"/>
      <c r="E7" s="8"/>
      <c r="F7" s="6"/>
      <c r="G7" s="6"/>
      <c r="H7" s="8"/>
      <c r="I7" s="8"/>
      <c r="J7" s="8"/>
      <c r="K7" s="182"/>
      <c r="L7" s="182"/>
      <c r="M7" s="182"/>
      <c r="N7" s="182"/>
      <c r="O7" s="182"/>
      <c r="P7" s="182"/>
    </row>
    <row r="8" spans="1:76" ht="15" customHeight="1" x14ac:dyDescent="0.3">
      <c r="A8" s="9" t="s">
        <v>12</v>
      </c>
      <c r="B8" s="9"/>
      <c r="C8" s="9"/>
      <c r="D8" s="8" t="str">
        <f>'Stavební rozpočet'!D8</f>
        <v>80331</v>
      </c>
      <c r="E8" s="8"/>
      <c r="F8" s="6" t="s">
        <v>95</v>
      </c>
      <c r="G8" s="6"/>
      <c r="H8" s="8" t="str">
        <f>'Stavební rozpočet'!H8</f>
        <v>16.05.2025</v>
      </c>
      <c r="I8" s="8" t="s">
        <v>13</v>
      </c>
      <c r="J8" s="8"/>
      <c r="K8" s="182" t="str">
        <f>'Stavební rozpočet'!J8</f>
        <v>Bohuslav Hemala</v>
      </c>
      <c r="L8" s="182"/>
      <c r="M8" s="182"/>
      <c r="N8" s="182"/>
      <c r="O8" s="182"/>
      <c r="P8" s="182"/>
    </row>
    <row r="9" spans="1:76" x14ac:dyDescent="0.3">
      <c r="A9" s="9"/>
      <c r="B9" s="9"/>
      <c r="C9" s="9"/>
      <c r="D9" s="8"/>
      <c r="E9" s="8"/>
      <c r="F9" s="6"/>
      <c r="G9" s="6"/>
      <c r="H9" s="8"/>
      <c r="I9" s="8"/>
      <c r="J9" s="8"/>
      <c r="K9" s="182"/>
      <c r="L9" s="182"/>
      <c r="M9" s="182"/>
      <c r="N9" s="182"/>
      <c r="O9" s="182"/>
      <c r="P9" s="182"/>
    </row>
    <row r="10" spans="1:76" ht="15" customHeight="1" x14ac:dyDescent="0.3">
      <c r="A10" s="69" t="s">
        <v>122</v>
      </c>
      <c r="B10" s="70" t="s">
        <v>99</v>
      </c>
      <c r="C10" s="70" t="s">
        <v>123</v>
      </c>
      <c r="D10" s="194" t="s">
        <v>100</v>
      </c>
      <c r="E10" s="194"/>
      <c r="F10" s="70" t="s">
        <v>124</v>
      </c>
      <c r="G10" s="71" t="s">
        <v>125</v>
      </c>
      <c r="H10" s="72" t="s">
        <v>126</v>
      </c>
      <c r="I10" s="73" t="s">
        <v>920</v>
      </c>
      <c r="J10" s="184" t="s">
        <v>97</v>
      </c>
      <c r="K10" s="184"/>
      <c r="L10" s="184"/>
      <c r="M10" s="47" t="s">
        <v>97</v>
      </c>
      <c r="N10" s="195" t="s">
        <v>98</v>
      </c>
      <c r="O10" s="195"/>
      <c r="P10" s="74" t="s">
        <v>128</v>
      </c>
      <c r="BK10" s="75" t="s">
        <v>129</v>
      </c>
      <c r="BL10" s="76" t="s">
        <v>130</v>
      </c>
      <c r="BW10" s="76" t="s">
        <v>131</v>
      </c>
    </row>
    <row r="11" spans="1:76" ht="15" customHeight="1" x14ac:dyDescent="0.3">
      <c r="A11" s="77" t="s">
        <v>96</v>
      </c>
      <c r="B11" s="78" t="s">
        <v>96</v>
      </c>
      <c r="C11" s="78" t="s">
        <v>96</v>
      </c>
      <c r="D11" s="196" t="s">
        <v>132</v>
      </c>
      <c r="E11" s="196"/>
      <c r="F11" s="78" t="s">
        <v>96</v>
      </c>
      <c r="G11" s="79" t="s">
        <v>96</v>
      </c>
      <c r="H11" s="80" t="s">
        <v>133</v>
      </c>
      <c r="I11" s="81" t="s">
        <v>96</v>
      </c>
      <c r="J11" s="49" t="s">
        <v>101</v>
      </c>
      <c r="K11" s="50" t="s">
        <v>39</v>
      </c>
      <c r="L11" s="51" t="s">
        <v>102</v>
      </c>
      <c r="M11" s="51" t="s">
        <v>135</v>
      </c>
      <c r="N11" s="50" t="s">
        <v>136</v>
      </c>
      <c r="O11" s="80" t="s">
        <v>102</v>
      </c>
      <c r="P11" s="49" t="s">
        <v>137</v>
      </c>
      <c r="Z11" s="75" t="s">
        <v>138</v>
      </c>
      <c r="AA11" s="75" t="s">
        <v>139</v>
      </c>
      <c r="AB11" s="75" t="s">
        <v>140</v>
      </c>
      <c r="AC11" s="75" t="s">
        <v>141</v>
      </c>
      <c r="AD11" s="75" t="s">
        <v>142</v>
      </c>
      <c r="AE11" s="75" t="s">
        <v>143</v>
      </c>
      <c r="AF11" s="75" t="s">
        <v>144</v>
      </c>
      <c r="AG11" s="75" t="s">
        <v>145</v>
      </c>
      <c r="AH11" s="75" t="s">
        <v>146</v>
      </c>
      <c r="BH11" s="75" t="s">
        <v>147</v>
      </c>
      <c r="BI11" s="75" t="s">
        <v>148</v>
      </c>
      <c r="BJ11" s="75" t="s">
        <v>149</v>
      </c>
    </row>
    <row r="12" spans="1:76" ht="31.2" customHeight="1" x14ac:dyDescent="0.3">
      <c r="A12" s="56"/>
      <c r="B12" s="100" t="s">
        <v>106</v>
      </c>
      <c r="C12" s="100"/>
      <c r="D12" s="200" t="s">
        <v>107</v>
      </c>
      <c r="E12" s="200"/>
      <c r="F12" s="56" t="s">
        <v>96</v>
      </c>
      <c r="G12" s="101" t="s">
        <v>96</v>
      </c>
      <c r="H12" s="56" t="s">
        <v>96</v>
      </c>
      <c r="I12" s="56" t="s">
        <v>96</v>
      </c>
      <c r="J12" s="102">
        <f>J13+J15+J18+J21+J24+J26</f>
        <v>0</v>
      </c>
      <c r="K12" s="102">
        <f>K13+K15+K18+K21+K24+K26</f>
        <v>0</v>
      </c>
      <c r="L12" s="102">
        <f>L13+L15+L18+L21+L24+L26</f>
        <v>0</v>
      </c>
      <c r="M12" s="102">
        <f>M13+M15+M18+M21+M24+M26</f>
        <v>0</v>
      </c>
      <c r="N12" s="103"/>
      <c r="O12" s="102">
        <f>O13+O15+O18+O21+O24+O26</f>
        <v>212.80173000000002</v>
      </c>
      <c r="P12" s="103"/>
    </row>
    <row r="13" spans="1:76" ht="15" customHeight="1" x14ac:dyDescent="0.3">
      <c r="A13" s="88"/>
      <c r="B13" s="89" t="s">
        <v>106</v>
      </c>
      <c r="C13" s="89" t="s">
        <v>203</v>
      </c>
      <c r="D13" s="198" t="s">
        <v>467</v>
      </c>
      <c r="E13" s="198"/>
      <c r="F13" s="88" t="s">
        <v>96</v>
      </c>
      <c r="G13" s="90" t="s">
        <v>96</v>
      </c>
      <c r="H13" s="88" t="s">
        <v>96</v>
      </c>
      <c r="I13" s="88" t="s">
        <v>96</v>
      </c>
      <c r="J13" s="91">
        <f>SUM(J14)</f>
        <v>0</v>
      </c>
      <c r="K13" s="91">
        <f>SUM(K14)</f>
        <v>0</v>
      </c>
      <c r="L13" s="91">
        <f>SUM(L14)</f>
        <v>0</v>
      </c>
      <c r="M13" s="91">
        <f>SUM(M14)</f>
        <v>0</v>
      </c>
      <c r="N13" s="92"/>
      <c r="O13" s="91">
        <f>SUM(O14)</f>
        <v>66.785730000000001</v>
      </c>
      <c r="P13" s="92"/>
      <c r="AI13" s="75" t="s">
        <v>106</v>
      </c>
      <c r="AS13" s="68">
        <f>SUM(AJ14)</f>
        <v>0</v>
      </c>
      <c r="AT13" s="68">
        <f>SUM(AK14)</f>
        <v>0</v>
      </c>
      <c r="AU13" s="68">
        <f>SUM(AL14)</f>
        <v>0</v>
      </c>
    </row>
    <row r="14" spans="1:76" ht="15" customHeight="1" x14ac:dyDescent="0.3">
      <c r="A14" s="94" t="s">
        <v>152</v>
      </c>
      <c r="B14" s="94" t="s">
        <v>106</v>
      </c>
      <c r="C14" s="94" t="s">
        <v>469</v>
      </c>
      <c r="D14" s="199" t="s">
        <v>470</v>
      </c>
      <c r="E14" s="199"/>
      <c r="F14" s="94" t="s">
        <v>155</v>
      </c>
      <c r="G14" s="96">
        <f>'Stavební rozpočet'!G118</f>
        <v>202.381</v>
      </c>
      <c r="H14" s="97">
        <f>'Stavební rozpočet'!H118</f>
        <v>0</v>
      </c>
      <c r="I14" s="98">
        <v>21</v>
      </c>
      <c r="J14" s="97">
        <f>ROUND(G14*AO14,2)</f>
        <v>0</v>
      </c>
      <c r="K14" s="97">
        <f>ROUND(G14*AP14,2)</f>
        <v>0</v>
      </c>
      <c r="L14" s="97">
        <f>ROUND(G14*H14,2)</f>
        <v>0</v>
      </c>
      <c r="M14" s="97">
        <f>L14*(1+BW14/100)</f>
        <v>0</v>
      </c>
      <c r="N14" s="97">
        <f>'Stavební rozpočet'!N118</f>
        <v>0.33</v>
      </c>
      <c r="O14" s="97">
        <f>G14*N14</f>
        <v>66.785730000000001</v>
      </c>
      <c r="P14" s="99" t="s">
        <v>156</v>
      </c>
      <c r="Z14" s="55">
        <f>ROUND(IF(AQ14="5",BJ14,0),2)</f>
        <v>0</v>
      </c>
      <c r="AB14" s="55">
        <f>ROUND(IF(AQ14="1",BH14,0),2)</f>
        <v>0</v>
      </c>
      <c r="AC14" s="55">
        <f>ROUND(IF(AQ14="1",BI14,0),2)</f>
        <v>0</v>
      </c>
      <c r="AD14" s="55">
        <f>ROUND(IF(AQ14="7",BH14,0),2)</f>
        <v>0</v>
      </c>
      <c r="AE14" s="55">
        <f>ROUND(IF(AQ14="7",BI14,0),2)</f>
        <v>0</v>
      </c>
      <c r="AF14" s="55">
        <f>ROUND(IF(AQ14="2",BH14,0),2)</f>
        <v>0</v>
      </c>
      <c r="AG14" s="55">
        <f>ROUND(IF(AQ14="2",BI14,0),2)</f>
        <v>0</v>
      </c>
      <c r="AH14" s="55">
        <f>ROUND(IF(AQ14="0",BJ14,0),2)</f>
        <v>0</v>
      </c>
      <c r="AI14" s="75" t="s">
        <v>106</v>
      </c>
      <c r="AJ14" s="55">
        <f>IF(AN14=0,L14,0)</f>
        <v>0</v>
      </c>
      <c r="AK14" s="55">
        <f>IF(AN14=12,L14,0)</f>
        <v>0</v>
      </c>
      <c r="AL14" s="55">
        <f>IF(AN14=21,L14,0)</f>
        <v>0</v>
      </c>
      <c r="AN14" s="55">
        <v>21</v>
      </c>
      <c r="AO14" s="55">
        <f>H14*0</f>
        <v>0</v>
      </c>
      <c r="AP14" s="55">
        <f>H14*(1-0)</f>
        <v>0</v>
      </c>
      <c r="AQ14" s="54" t="s">
        <v>152</v>
      </c>
      <c r="AV14" s="55">
        <f>ROUND(AW14+AX14,2)</f>
        <v>0</v>
      </c>
      <c r="AW14" s="55">
        <f>ROUND(G14*AO14,2)</f>
        <v>0</v>
      </c>
      <c r="AX14" s="55">
        <f>ROUND(G14*AP14,2)</f>
        <v>0</v>
      </c>
      <c r="AY14" s="54" t="s">
        <v>471</v>
      </c>
      <c r="AZ14" s="54" t="s">
        <v>472</v>
      </c>
      <c r="BA14" s="75" t="s">
        <v>473</v>
      </c>
      <c r="BC14" s="55">
        <f>AW14+AX14</f>
        <v>0</v>
      </c>
      <c r="BD14" s="55">
        <f>H14/(100-BE14)*100</f>
        <v>0</v>
      </c>
      <c r="BE14" s="55">
        <v>0</v>
      </c>
      <c r="BF14" s="55">
        <f>O14</f>
        <v>66.785730000000001</v>
      </c>
      <c r="BH14" s="55">
        <f>G14*AO14</f>
        <v>0</v>
      </c>
      <c r="BI14" s="55">
        <f>G14*AP14</f>
        <v>0</v>
      </c>
      <c r="BJ14" s="55">
        <f>G14*H14</f>
        <v>0</v>
      </c>
      <c r="BK14" s="54" t="s">
        <v>161</v>
      </c>
      <c r="BL14" s="55">
        <v>11</v>
      </c>
      <c r="BW14" s="55">
        <f>I14</f>
        <v>21</v>
      </c>
      <c r="BX14" s="16" t="s">
        <v>470</v>
      </c>
    </row>
    <row r="15" spans="1:76" ht="15" customHeight="1" x14ac:dyDescent="0.3">
      <c r="A15" s="88"/>
      <c r="B15" s="89" t="s">
        <v>106</v>
      </c>
      <c r="C15" s="89" t="s">
        <v>223</v>
      </c>
      <c r="D15" s="198" t="s">
        <v>474</v>
      </c>
      <c r="E15" s="198"/>
      <c r="F15" s="88" t="s">
        <v>96</v>
      </c>
      <c r="G15" s="90" t="s">
        <v>96</v>
      </c>
      <c r="H15" s="88" t="s">
        <v>96</v>
      </c>
      <c r="I15" s="88" t="s">
        <v>96</v>
      </c>
      <c r="J15" s="91">
        <f>SUM(J16:J17)</f>
        <v>0</v>
      </c>
      <c r="K15" s="91">
        <f>SUM(K16:K17)</f>
        <v>0</v>
      </c>
      <c r="L15" s="91">
        <f>SUM(L16:L17)</f>
        <v>0</v>
      </c>
      <c r="M15" s="91">
        <f>SUM(M16:M17)</f>
        <v>0</v>
      </c>
      <c r="N15" s="92"/>
      <c r="O15" s="91">
        <f>SUM(O16:O17)</f>
        <v>0</v>
      </c>
      <c r="P15" s="92"/>
      <c r="AI15" s="75" t="s">
        <v>106</v>
      </c>
      <c r="AS15" s="68">
        <f>SUM(AJ16:AJ17)</f>
        <v>0</v>
      </c>
      <c r="AT15" s="68">
        <f>SUM(AK16:AK17)</f>
        <v>0</v>
      </c>
      <c r="AU15" s="68">
        <f>SUM(AL16:AL17)</f>
        <v>0</v>
      </c>
    </row>
    <row r="16" spans="1:76" ht="15" customHeight="1" x14ac:dyDescent="0.3">
      <c r="A16" s="94" t="s">
        <v>162</v>
      </c>
      <c r="B16" s="94" t="s">
        <v>106</v>
      </c>
      <c r="C16" s="94" t="s">
        <v>476</v>
      </c>
      <c r="D16" s="199" t="s">
        <v>477</v>
      </c>
      <c r="E16" s="199"/>
      <c r="F16" s="94" t="s">
        <v>366</v>
      </c>
      <c r="G16" s="96">
        <f>'Stavební rozpočet'!G120</f>
        <v>71.153999999999996</v>
      </c>
      <c r="H16" s="97">
        <f>'Stavební rozpočet'!H120</f>
        <v>0</v>
      </c>
      <c r="I16" s="98">
        <v>21</v>
      </c>
      <c r="J16" s="97">
        <f>ROUND(G16*AO16,2)</f>
        <v>0</v>
      </c>
      <c r="K16" s="97">
        <f>ROUND(G16*AP16,2)</f>
        <v>0</v>
      </c>
      <c r="L16" s="97">
        <f>ROUND(G16*H16,2)</f>
        <v>0</v>
      </c>
      <c r="M16" s="97">
        <f>L16*(1+BW16/100)</f>
        <v>0</v>
      </c>
      <c r="N16" s="97">
        <f>'Stavební rozpočet'!N120</f>
        <v>0</v>
      </c>
      <c r="O16" s="97">
        <f>G16*N16</f>
        <v>0</v>
      </c>
      <c r="P16" s="99" t="s">
        <v>156</v>
      </c>
      <c r="Z16" s="55">
        <f>ROUND(IF(AQ16="5",BJ16,0),2)</f>
        <v>0</v>
      </c>
      <c r="AB16" s="55">
        <f>ROUND(IF(AQ16="1",BH16,0),2)</f>
        <v>0</v>
      </c>
      <c r="AC16" s="55">
        <f>ROUND(IF(AQ16="1",BI16,0),2)</f>
        <v>0</v>
      </c>
      <c r="AD16" s="55">
        <f>ROUND(IF(AQ16="7",BH16,0),2)</f>
        <v>0</v>
      </c>
      <c r="AE16" s="55">
        <f>ROUND(IF(AQ16="7",BI16,0),2)</f>
        <v>0</v>
      </c>
      <c r="AF16" s="55">
        <f>ROUND(IF(AQ16="2",BH16,0),2)</f>
        <v>0</v>
      </c>
      <c r="AG16" s="55">
        <f>ROUND(IF(AQ16="2",BI16,0),2)</f>
        <v>0</v>
      </c>
      <c r="AH16" s="55">
        <f>ROUND(IF(AQ16="0",BJ16,0),2)</f>
        <v>0</v>
      </c>
      <c r="AI16" s="75" t="s">
        <v>106</v>
      </c>
      <c r="AJ16" s="55">
        <f>IF(AN16=0,L16,0)</f>
        <v>0</v>
      </c>
      <c r="AK16" s="55">
        <f>IF(AN16=12,L16,0)</f>
        <v>0</v>
      </c>
      <c r="AL16" s="55">
        <f>IF(AN16=21,L16,0)</f>
        <v>0</v>
      </c>
      <c r="AN16" s="55">
        <v>21</v>
      </c>
      <c r="AO16" s="55">
        <f>H16*0</f>
        <v>0</v>
      </c>
      <c r="AP16" s="55">
        <f>H16*(1-0)</f>
        <v>0</v>
      </c>
      <c r="AQ16" s="54" t="s">
        <v>152</v>
      </c>
      <c r="AV16" s="55">
        <f>ROUND(AW16+AX16,2)</f>
        <v>0</v>
      </c>
      <c r="AW16" s="55">
        <f>ROUND(G16*AO16,2)</f>
        <v>0</v>
      </c>
      <c r="AX16" s="55">
        <f>ROUND(G16*AP16,2)</f>
        <v>0</v>
      </c>
      <c r="AY16" s="54" t="s">
        <v>478</v>
      </c>
      <c r="AZ16" s="54" t="s">
        <v>472</v>
      </c>
      <c r="BA16" s="75" t="s">
        <v>473</v>
      </c>
      <c r="BC16" s="55">
        <f>AW16+AX16</f>
        <v>0</v>
      </c>
      <c r="BD16" s="55">
        <f>H16/(100-BE16)*100</f>
        <v>0</v>
      </c>
      <c r="BE16" s="55">
        <v>0</v>
      </c>
      <c r="BF16" s="55">
        <f>O16</f>
        <v>0</v>
      </c>
      <c r="BH16" s="55">
        <f>G16*AO16</f>
        <v>0</v>
      </c>
      <c r="BI16" s="55">
        <f>G16*AP16</f>
        <v>0</v>
      </c>
      <c r="BJ16" s="55">
        <f>G16*H16</f>
        <v>0</v>
      </c>
      <c r="BK16" s="54" t="s">
        <v>161</v>
      </c>
      <c r="BL16" s="55">
        <v>16</v>
      </c>
      <c r="BW16" s="55">
        <f>I16</f>
        <v>21</v>
      </c>
      <c r="BX16" s="16" t="s">
        <v>477</v>
      </c>
    </row>
    <row r="17" spans="1:76" ht="15" customHeight="1" x14ac:dyDescent="0.3">
      <c r="A17" s="94" t="s">
        <v>167</v>
      </c>
      <c r="B17" s="94" t="s">
        <v>106</v>
      </c>
      <c r="C17" s="94" t="s">
        <v>480</v>
      </c>
      <c r="D17" s="199" t="s">
        <v>481</v>
      </c>
      <c r="E17" s="199"/>
      <c r="F17" s="94" t="s">
        <v>366</v>
      </c>
      <c r="G17" s="96">
        <f>'Stavební rozpočet'!G121</f>
        <v>569.23199999999997</v>
      </c>
      <c r="H17" s="97">
        <f>'Stavební rozpočet'!H121</f>
        <v>0</v>
      </c>
      <c r="I17" s="98">
        <v>21</v>
      </c>
      <c r="J17" s="97">
        <f>ROUND(G17*AO17,2)</f>
        <v>0</v>
      </c>
      <c r="K17" s="97">
        <f>ROUND(G17*AP17,2)</f>
        <v>0</v>
      </c>
      <c r="L17" s="97">
        <f>ROUND(G17*H17,2)</f>
        <v>0</v>
      </c>
      <c r="M17" s="97">
        <f>L17*(1+BW17/100)</f>
        <v>0</v>
      </c>
      <c r="N17" s="97">
        <f>'Stavební rozpočet'!N121</f>
        <v>0</v>
      </c>
      <c r="O17" s="97">
        <f>G17*N17</f>
        <v>0</v>
      </c>
      <c r="P17" s="99" t="s">
        <v>156</v>
      </c>
      <c r="Z17" s="55">
        <f>ROUND(IF(AQ17="5",BJ17,0),2)</f>
        <v>0</v>
      </c>
      <c r="AB17" s="55">
        <f>ROUND(IF(AQ17="1",BH17,0),2)</f>
        <v>0</v>
      </c>
      <c r="AC17" s="55">
        <f>ROUND(IF(AQ17="1",BI17,0),2)</f>
        <v>0</v>
      </c>
      <c r="AD17" s="55">
        <f>ROUND(IF(AQ17="7",BH17,0),2)</f>
        <v>0</v>
      </c>
      <c r="AE17" s="55">
        <f>ROUND(IF(AQ17="7",BI17,0),2)</f>
        <v>0</v>
      </c>
      <c r="AF17" s="55">
        <f>ROUND(IF(AQ17="2",BH17,0),2)</f>
        <v>0</v>
      </c>
      <c r="AG17" s="55">
        <f>ROUND(IF(AQ17="2",BI17,0),2)</f>
        <v>0</v>
      </c>
      <c r="AH17" s="55">
        <f>ROUND(IF(AQ17="0",BJ17,0),2)</f>
        <v>0</v>
      </c>
      <c r="AI17" s="75" t="s">
        <v>106</v>
      </c>
      <c r="AJ17" s="55">
        <f>IF(AN17=0,L17,0)</f>
        <v>0</v>
      </c>
      <c r="AK17" s="55">
        <f>IF(AN17=12,L17,0)</f>
        <v>0</v>
      </c>
      <c r="AL17" s="55">
        <f>IF(AN17=21,L17,0)</f>
        <v>0</v>
      </c>
      <c r="AN17" s="55">
        <v>21</v>
      </c>
      <c r="AO17" s="55">
        <f>H17*0</f>
        <v>0</v>
      </c>
      <c r="AP17" s="55">
        <f>H17*(1-0)</f>
        <v>0</v>
      </c>
      <c r="AQ17" s="54" t="s">
        <v>152</v>
      </c>
      <c r="AV17" s="55">
        <f>ROUND(AW17+AX17,2)</f>
        <v>0</v>
      </c>
      <c r="AW17" s="55">
        <f>ROUND(G17*AO17,2)</f>
        <v>0</v>
      </c>
      <c r="AX17" s="55">
        <f>ROUND(G17*AP17,2)</f>
        <v>0</v>
      </c>
      <c r="AY17" s="54" t="s">
        <v>478</v>
      </c>
      <c r="AZ17" s="54" t="s">
        <v>472</v>
      </c>
      <c r="BA17" s="75" t="s">
        <v>473</v>
      </c>
      <c r="BC17" s="55">
        <f>AW17+AX17</f>
        <v>0</v>
      </c>
      <c r="BD17" s="55">
        <f>H17/(100-BE17)*100</f>
        <v>0</v>
      </c>
      <c r="BE17" s="55">
        <v>0</v>
      </c>
      <c r="BF17" s="55">
        <f>O17</f>
        <v>0</v>
      </c>
      <c r="BH17" s="55">
        <f>G17*AO17</f>
        <v>0</v>
      </c>
      <c r="BI17" s="55">
        <f>G17*AP17</f>
        <v>0</v>
      </c>
      <c r="BJ17" s="55">
        <f>G17*H17</f>
        <v>0</v>
      </c>
      <c r="BK17" s="54" t="s">
        <v>161</v>
      </c>
      <c r="BL17" s="55">
        <v>16</v>
      </c>
      <c r="BW17" s="55">
        <f>I17</f>
        <v>21</v>
      </c>
      <c r="BX17" s="16" t="s">
        <v>481</v>
      </c>
    </row>
    <row r="18" spans="1:76" ht="15" customHeight="1" x14ac:dyDescent="0.3">
      <c r="A18" s="88"/>
      <c r="B18" s="89" t="s">
        <v>106</v>
      </c>
      <c r="C18" s="89" t="s">
        <v>228</v>
      </c>
      <c r="D18" s="198" t="s">
        <v>482</v>
      </c>
      <c r="E18" s="198"/>
      <c r="F18" s="88" t="s">
        <v>96</v>
      </c>
      <c r="G18" s="90" t="s">
        <v>96</v>
      </c>
      <c r="H18" s="88" t="s">
        <v>96</v>
      </c>
      <c r="I18" s="88" t="s">
        <v>96</v>
      </c>
      <c r="J18" s="91">
        <f>SUM(J19:J20)</f>
        <v>0</v>
      </c>
      <c r="K18" s="91">
        <f>SUM(K19:K20)</f>
        <v>0</v>
      </c>
      <c r="L18" s="91">
        <f>SUM(L19:L20)</f>
        <v>0</v>
      </c>
      <c r="M18" s="91">
        <f>SUM(M19:M20)</f>
        <v>0</v>
      </c>
      <c r="N18" s="92"/>
      <c r="O18" s="91">
        <f>SUM(O19:O20)</f>
        <v>113.846</v>
      </c>
      <c r="P18" s="92"/>
      <c r="AI18" s="75" t="s">
        <v>106</v>
      </c>
      <c r="AS18" s="68">
        <f>SUM(AJ19:AJ20)</f>
        <v>0</v>
      </c>
      <c r="AT18" s="68">
        <f>SUM(AK19:AK20)</f>
        <v>0</v>
      </c>
      <c r="AU18" s="68">
        <f>SUM(AL19:AL20)</f>
        <v>0</v>
      </c>
    </row>
    <row r="19" spans="1:76" ht="15" customHeight="1" x14ac:dyDescent="0.3">
      <c r="A19" s="94" t="s">
        <v>173</v>
      </c>
      <c r="B19" s="94" t="s">
        <v>106</v>
      </c>
      <c r="C19" s="94" t="s">
        <v>484</v>
      </c>
      <c r="D19" s="199" t="s">
        <v>485</v>
      </c>
      <c r="E19" s="199"/>
      <c r="F19" s="94" t="s">
        <v>366</v>
      </c>
      <c r="G19" s="96">
        <f>'Stavební rozpočet'!G123</f>
        <v>71.153999999999996</v>
      </c>
      <c r="H19" s="97">
        <f>'Stavební rozpočet'!H123</f>
        <v>0</v>
      </c>
      <c r="I19" s="98">
        <v>21</v>
      </c>
      <c r="J19" s="97">
        <f>ROUND(G19*AO19,2)</f>
        <v>0</v>
      </c>
      <c r="K19" s="97">
        <f>ROUND(G19*AP19,2)</f>
        <v>0</v>
      </c>
      <c r="L19" s="97">
        <f>ROUND(G19*H19,2)</f>
        <v>0</v>
      </c>
      <c r="M19" s="97">
        <f>L19*(1+BW19/100)</f>
        <v>0</v>
      </c>
      <c r="N19" s="97">
        <f>'Stavební rozpočet'!N123</f>
        <v>0</v>
      </c>
      <c r="O19" s="97">
        <f>G19*N19</f>
        <v>0</v>
      </c>
      <c r="P19" s="99" t="s">
        <v>156</v>
      </c>
      <c r="Z19" s="55">
        <f>ROUND(IF(AQ19="5",BJ19,0),2)</f>
        <v>0</v>
      </c>
      <c r="AB19" s="55">
        <f>ROUND(IF(AQ19="1",BH19,0),2)</f>
        <v>0</v>
      </c>
      <c r="AC19" s="55">
        <f>ROUND(IF(AQ19="1",BI19,0),2)</f>
        <v>0</v>
      </c>
      <c r="AD19" s="55">
        <f>ROUND(IF(AQ19="7",BH19,0),2)</f>
        <v>0</v>
      </c>
      <c r="AE19" s="55">
        <f>ROUND(IF(AQ19="7",BI19,0),2)</f>
        <v>0</v>
      </c>
      <c r="AF19" s="55">
        <f>ROUND(IF(AQ19="2",BH19,0),2)</f>
        <v>0</v>
      </c>
      <c r="AG19" s="55">
        <f>ROUND(IF(AQ19="2",BI19,0),2)</f>
        <v>0</v>
      </c>
      <c r="AH19" s="55">
        <f>ROUND(IF(AQ19="0",BJ19,0),2)</f>
        <v>0</v>
      </c>
      <c r="AI19" s="75" t="s">
        <v>106</v>
      </c>
      <c r="AJ19" s="55">
        <f>IF(AN19=0,L19,0)</f>
        <v>0</v>
      </c>
      <c r="AK19" s="55">
        <f>IF(AN19=12,L19,0)</f>
        <v>0</v>
      </c>
      <c r="AL19" s="55">
        <f>IF(AN19=21,L19,0)</f>
        <v>0</v>
      </c>
      <c r="AN19" s="55">
        <v>21</v>
      </c>
      <c r="AO19" s="55">
        <f>H19*0</f>
        <v>0</v>
      </c>
      <c r="AP19" s="55">
        <f>H19*(1-0)</f>
        <v>0</v>
      </c>
      <c r="AQ19" s="54" t="s">
        <v>152</v>
      </c>
      <c r="AV19" s="55">
        <f>ROUND(AW19+AX19,2)</f>
        <v>0</v>
      </c>
      <c r="AW19" s="55">
        <f>ROUND(G19*AO19,2)</f>
        <v>0</v>
      </c>
      <c r="AX19" s="55">
        <f>ROUND(G19*AP19,2)</f>
        <v>0</v>
      </c>
      <c r="AY19" s="54" t="s">
        <v>486</v>
      </c>
      <c r="AZ19" s="54" t="s">
        <v>472</v>
      </c>
      <c r="BA19" s="75" t="s">
        <v>473</v>
      </c>
      <c r="BC19" s="55">
        <f>AW19+AX19</f>
        <v>0</v>
      </c>
      <c r="BD19" s="55">
        <f>H19/(100-BE19)*100</f>
        <v>0</v>
      </c>
      <c r="BE19" s="55">
        <v>0</v>
      </c>
      <c r="BF19" s="55">
        <f>O19</f>
        <v>0</v>
      </c>
      <c r="BH19" s="55">
        <f>G19*AO19</f>
        <v>0</v>
      </c>
      <c r="BI19" s="55">
        <f>G19*AP19</f>
        <v>0</v>
      </c>
      <c r="BJ19" s="55">
        <f>G19*H19</f>
        <v>0</v>
      </c>
      <c r="BK19" s="54" t="s">
        <v>161</v>
      </c>
      <c r="BL19" s="55">
        <v>17</v>
      </c>
      <c r="BW19" s="55">
        <f>I19</f>
        <v>21</v>
      </c>
      <c r="BX19" s="16" t="s">
        <v>485</v>
      </c>
    </row>
    <row r="20" spans="1:76" ht="24" customHeight="1" x14ac:dyDescent="0.3">
      <c r="A20" s="105" t="s">
        <v>179</v>
      </c>
      <c r="B20" s="105" t="s">
        <v>106</v>
      </c>
      <c r="C20" s="105" t="s">
        <v>487</v>
      </c>
      <c r="D20" s="201" t="s">
        <v>488</v>
      </c>
      <c r="E20" s="201"/>
      <c r="F20" s="105" t="s">
        <v>323</v>
      </c>
      <c r="G20" s="107">
        <f>'Stavební rozpočet'!G124</f>
        <v>113.846</v>
      </c>
      <c r="H20" s="108">
        <f>'Stavební rozpočet'!H124</f>
        <v>0</v>
      </c>
      <c r="I20" s="109">
        <v>21</v>
      </c>
      <c r="J20" s="108">
        <f>ROUND(G20*AO20,2)</f>
        <v>0</v>
      </c>
      <c r="K20" s="108">
        <f>ROUND(G20*AP20,2)</f>
        <v>0</v>
      </c>
      <c r="L20" s="108">
        <f>ROUND(G20*H20,2)</f>
        <v>0</v>
      </c>
      <c r="M20" s="108">
        <f>L20*(1+BW20/100)</f>
        <v>0</v>
      </c>
      <c r="N20" s="108">
        <f>'Stavební rozpočet'!N124</f>
        <v>1</v>
      </c>
      <c r="O20" s="108">
        <f>G20*N20</f>
        <v>113.846</v>
      </c>
      <c r="P20" s="110" t="s">
        <v>156</v>
      </c>
      <c r="Z20" s="55">
        <f>ROUND(IF(AQ20="5",BJ20,0),2)</f>
        <v>0</v>
      </c>
      <c r="AB20" s="55">
        <f>ROUND(IF(AQ20="1",BH20,0),2)</f>
        <v>0</v>
      </c>
      <c r="AC20" s="55">
        <f>ROUND(IF(AQ20="1",BI20,0),2)</f>
        <v>0</v>
      </c>
      <c r="AD20" s="55">
        <f>ROUND(IF(AQ20="7",BH20,0),2)</f>
        <v>0</v>
      </c>
      <c r="AE20" s="55">
        <f>ROUND(IF(AQ20="7",BI20,0),2)</f>
        <v>0</v>
      </c>
      <c r="AF20" s="55">
        <f>ROUND(IF(AQ20="2",BH20,0),2)</f>
        <v>0</v>
      </c>
      <c r="AG20" s="55">
        <f>ROUND(IF(AQ20="2",BI20,0),2)</f>
        <v>0</v>
      </c>
      <c r="AH20" s="55">
        <f>ROUND(IF(AQ20="0",BJ20,0),2)</f>
        <v>0</v>
      </c>
      <c r="AI20" s="75" t="s">
        <v>106</v>
      </c>
      <c r="AJ20" s="111">
        <f>IF(AN20=0,L20,0)</f>
        <v>0</v>
      </c>
      <c r="AK20" s="111">
        <f>IF(AN20=12,L20,0)</f>
        <v>0</v>
      </c>
      <c r="AL20" s="111">
        <f>IF(AN20=21,L20,0)</f>
        <v>0</v>
      </c>
      <c r="AN20" s="55">
        <v>21</v>
      </c>
      <c r="AO20" s="55">
        <f>H20*1</f>
        <v>0</v>
      </c>
      <c r="AP20" s="55">
        <f>H20*(1-1)</f>
        <v>0</v>
      </c>
      <c r="AQ20" s="112" t="s">
        <v>152</v>
      </c>
      <c r="AV20" s="55">
        <f>ROUND(AW20+AX20,2)</f>
        <v>0</v>
      </c>
      <c r="AW20" s="55">
        <f>ROUND(G20*AO20,2)</f>
        <v>0</v>
      </c>
      <c r="AX20" s="55">
        <f>ROUND(G20*AP20,2)</f>
        <v>0</v>
      </c>
      <c r="AY20" s="54" t="s">
        <v>486</v>
      </c>
      <c r="AZ20" s="54" t="s">
        <v>472</v>
      </c>
      <c r="BA20" s="75" t="s">
        <v>473</v>
      </c>
      <c r="BC20" s="55">
        <f>AW20+AX20</f>
        <v>0</v>
      </c>
      <c r="BD20" s="55">
        <f>H20/(100-BE20)*100</f>
        <v>0</v>
      </c>
      <c r="BE20" s="55">
        <v>0</v>
      </c>
      <c r="BF20" s="55">
        <f>O20</f>
        <v>113.846</v>
      </c>
      <c r="BH20" s="111">
        <f>G20*AO20</f>
        <v>0</v>
      </c>
      <c r="BI20" s="111">
        <f>G20*AP20</f>
        <v>0</v>
      </c>
      <c r="BJ20" s="111">
        <f>G20*H20</f>
        <v>0</v>
      </c>
      <c r="BK20" s="112" t="s">
        <v>489</v>
      </c>
      <c r="BL20" s="55">
        <v>17</v>
      </c>
      <c r="BW20" s="55">
        <f>I20</f>
        <v>21</v>
      </c>
      <c r="BX20" s="113" t="s">
        <v>488</v>
      </c>
    </row>
    <row r="21" spans="1:76" ht="15" customHeight="1" x14ac:dyDescent="0.3">
      <c r="A21" s="88"/>
      <c r="B21" s="89" t="s">
        <v>106</v>
      </c>
      <c r="C21" s="89" t="s">
        <v>324</v>
      </c>
      <c r="D21" s="198" t="s">
        <v>325</v>
      </c>
      <c r="E21" s="198"/>
      <c r="F21" s="88" t="s">
        <v>96</v>
      </c>
      <c r="G21" s="90" t="s">
        <v>96</v>
      </c>
      <c r="H21" s="88" t="s">
        <v>96</v>
      </c>
      <c r="I21" s="88" t="s">
        <v>96</v>
      </c>
      <c r="J21" s="91">
        <f>SUM(J22:J23)</f>
        <v>0</v>
      </c>
      <c r="K21" s="91">
        <f>SUM(K22:K23)</f>
        <v>0</v>
      </c>
      <c r="L21" s="91">
        <f>SUM(L22:L23)</f>
        <v>0</v>
      </c>
      <c r="M21" s="91">
        <f>SUM(M22:M23)</f>
        <v>0</v>
      </c>
      <c r="N21" s="92"/>
      <c r="O21" s="91">
        <f>SUM(O22:O23)</f>
        <v>31.8</v>
      </c>
      <c r="P21" s="92"/>
      <c r="AI21" s="75" t="s">
        <v>106</v>
      </c>
      <c r="AS21" s="68">
        <f>SUM(AJ22:AJ23)</f>
        <v>0</v>
      </c>
      <c r="AT21" s="68">
        <f>SUM(AK22:AK23)</f>
        <v>0</v>
      </c>
      <c r="AU21" s="68">
        <f>SUM(AL22:AL23)</f>
        <v>0</v>
      </c>
    </row>
    <row r="22" spans="1:76" ht="15" customHeight="1" x14ac:dyDescent="0.3">
      <c r="A22" s="94" t="s">
        <v>182</v>
      </c>
      <c r="B22" s="94" t="s">
        <v>106</v>
      </c>
      <c r="C22" s="94" t="s">
        <v>374</v>
      </c>
      <c r="D22" s="199" t="s">
        <v>375</v>
      </c>
      <c r="E22" s="199"/>
      <c r="F22" s="94" t="s">
        <v>366</v>
      </c>
      <c r="G22" s="96">
        <f>'Stavební rozpočet'!G126</f>
        <v>9</v>
      </c>
      <c r="H22" s="97">
        <f>'Stavební rozpočet'!H126</f>
        <v>0</v>
      </c>
      <c r="I22" s="98">
        <v>21</v>
      </c>
      <c r="J22" s="97">
        <f>ROUND(G22*AO22,2)</f>
        <v>0</v>
      </c>
      <c r="K22" s="97">
        <f>ROUND(G22*AP22,2)</f>
        <v>0</v>
      </c>
      <c r="L22" s="97">
        <f>ROUND(G22*H22,2)</f>
        <v>0</v>
      </c>
      <c r="M22" s="97">
        <f>L22*(1+BW22/100)</f>
        <v>0</v>
      </c>
      <c r="N22" s="97">
        <f>'Stavební rozpočet'!N126</f>
        <v>2.2000000000000002</v>
      </c>
      <c r="O22" s="97">
        <f>G22*N22</f>
        <v>19.8</v>
      </c>
      <c r="P22" s="99" t="s">
        <v>156</v>
      </c>
      <c r="Z22" s="55">
        <f>ROUND(IF(AQ22="5",BJ22,0),2)</f>
        <v>0</v>
      </c>
      <c r="AB22" s="55">
        <f>ROUND(IF(AQ22="1",BH22,0),2)</f>
        <v>0</v>
      </c>
      <c r="AC22" s="55">
        <f>ROUND(IF(AQ22="1",BI22,0),2)</f>
        <v>0</v>
      </c>
      <c r="AD22" s="55">
        <f>ROUND(IF(AQ22="7",BH22,0),2)</f>
        <v>0</v>
      </c>
      <c r="AE22" s="55">
        <f>ROUND(IF(AQ22="7",BI22,0),2)</f>
        <v>0</v>
      </c>
      <c r="AF22" s="55">
        <f>ROUND(IF(AQ22="2",BH22,0),2)</f>
        <v>0</v>
      </c>
      <c r="AG22" s="55">
        <f>ROUND(IF(AQ22="2",BI22,0),2)</f>
        <v>0</v>
      </c>
      <c r="AH22" s="55">
        <f>ROUND(IF(AQ22="0",BJ22,0),2)</f>
        <v>0</v>
      </c>
      <c r="AI22" s="75" t="s">
        <v>106</v>
      </c>
      <c r="AJ22" s="55">
        <f>IF(AN22=0,L22,0)</f>
        <v>0</v>
      </c>
      <c r="AK22" s="55">
        <f>IF(AN22=12,L22,0)</f>
        <v>0</v>
      </c>
      <c r="AL22" s="55">
        <f>IF(AN22=21,L22,0)</f>
        <v>0</v>
      </c>
      <c r="AN22" s="55">
        <v>21</v>
      </c>
      <c r="AO22" s="55">
        <f>H22*0</f>
        <v>0</v>
      </c>
      <c r="AP22" s="55">
        <f>H22*(1-0)</f>
        <v>0</v>
      </c>
      <c r="AQ22" s="54" t="s">
        <v>152</v>
      </c>
      <c r="AV22" s="55">
        <f>ROUND(AW22+AX22,2)</f>
        <v>0</v>
      </c>
      <c r="AW22" s="55">
        <f>ROUND(G22*AO22,2)</f>
        <v>0</v>
      </c>
      <c r="AX22" s="55">
        <f>ROUND(G22*AP22,2)</f>
        <v>0</v>
      </c>
      <c r="AY22" s="54" t="s">
        <v>329</v>
      </c>
      <c r="AZ22" s="54" t="s">
        <v>491</v>
      </c>
      <c r="BA22" s="75" t="s">
        <v>473</v>
      </c>
      <c r="BC22" s="55">
        <f>AW22+AX22</f>
        <v>0</v>
      </c>
      <c r="BD22" s="55">
        <f>H22/(100-BE22)*100</f>
        <v>0</v>
      </c>
      <c r="BE22" s="55">
        <v>0</v>
      </c>
      <c r="BF22" s="55">
        <f>O22</f>
        <v>19.8</v>
      </c>
      <c r="BH22" s="55">
        <f>G22*AO22</f>
        <v>0</v>
      </c>
      <c r="BI22" s="55">
        <f>G22*AP22</f>
        <v>0</v>
      </c>
      <c r="BJ22" s="55">
        <f>G22*H22</f>
        <v>0</v>
      </c>
      <c r="BK22" s="54" t="s">
        <v>161</v>
      </c>
      <c r="BL22" s="55">
        <v>96</v>
      </c>
      <c r="BW22" s="55">
        <f>I22</f>
        <v>21</v>
      </c>
      <c r="BX22" s="16" t="s">
        <v>375</v>
      </c>
    </row>
    <row r="23" spans="1:76" ht="15" customHeight="1" x14ac:dyDescent="0.3">
      <c r="A23" s="94" t="s">
        <v>157</v>
      </c>
      <c r="B23" s="94" t="s">
        <v>106</v>
      </c>
      <c r="C23" s="94" t="s">
        <v>371</v>
      </c>
      <c r="D23" s="199" t="s">
        <v>372</v>
      </c>
      <c r="E23" s="199"/>
      <c r="F23" s="94" t="s">
        <v>366</v>
      </c>
      <c r="G23" s="96">
        <f>'Stavební rozpočet'!G127</f>
        <v>6</v>
      </c>
      <c r="H23" s="97">
        <f>'Stavební rozpočet'!H127</f>
        <v>0</v>
      </c>
      <c r="I23" s="98">
        <v>21</v>
      </c>
      <c r="J23" s="97">
        <f>ROUND(G23*AO23,2)</f>
        <v>0</v>
      </c>
      <c r="K23" s="97">
        <f>ROUND(G23*AP23,2)</f>
        <v>0</v>
      </c>
      <c r="L23" s="97">
        <f>ROUND(G23*H23,2)</f>
        <v>0</v>
      </c>
      <c r="M23" s="97">
        <f>L23*(1+BW23/100)</f>
        <v>0</v>
      </c>
      <c r="N23" s="97">
        <f>'Stavební rozpočet'!N127</f>
        <v>2</v>
      </c>
      <c r="O23" s="97">
        <f>G23*N23</f>
        <v>12</v>
      </c>
      <c r="P23" s="99" t="s">
        <v>156</v>
      </c>
      <c r="Z23" s="55">
        <f>ROUND(IF(AQ23="5",BJ23,0),2)</f>
        <v>0</v>
      </c>
      <c r="AB23" s="55">
        <f>ROUND(IF(AQ23="1",BH23,0),2)</f>
        <v>0</v>
      </c>
      <c r="AC23" s="55">
        <f>ROUND(IF(AQ23="1",BI23,0),2)</f>
        <v>0</v>
      </c>
      <c r="AD23" s="55">
        <f>ROUND(IF(AQ23="7",BH23,0),2)</f>
        <v>0</v>
      </c>
      <c r="AE23" s="55">
        <f>ROUND(IF(AQ23="7",BI23,0),2)</f>
        <v>0</v>
      </c>
      <c r="AF23" s="55">
        <f>ROUND(IF(AQ23="2",BH23,0),2)</f>
        <v>0</v>
      </c>
      <c r="AG23" s="55">
        <f>ROUND(IF(AQ23="2",BI23,0),2)</f>
        <v>0</v>
      </c>
      <c r="AH23" s="55">
        <f>ROUND(IF(AQ23="0",BJ23,0),2)</f>
        <v>0</v>
      </c>
      <c r="AI23" s="75" t="s">
        <v>106</v>
      </c>
      <c r="AJ23" s="55">
        <f>IF(AN23=0,L23,0)</f>
        <v>0</v>
      </c>
      <c r="AK23" s="55">
        <f>IF(AN23=12,L23,0)</f>
        <v>0</v>
      </c>
      <c r="AL23" s="55">
        <f>IF(AN23=21,L23,0)</f>
        <v>0</v>
      </c>
      <c r="AN23" s="55">
        <v>21</v>
      </c>
      <c r="AO23" s="55">
        <f>H23*0</f>
        <v>0</v>
      </c>
      <c r="AP23" s="55">
        <f>H23*(1-0)</f>
        <v>0</v>
      </c>
      <c r="AQ23" s="54" t="s">
        <v>152</v>
      </c>
      <c r="AV23" s="55">
        <f>ROUND(AW23+AX23,2)</f>
        <v>0</v>
      </c>
      <c r="AW23" s="55">
        <f>ROUND(G23*AO23,2)</f>
        <v>0</v>
      </c>
      <c r="AX23" s="55">
        <f>ROUND(G23*AP23,2)</f>
        <v>0</v>
      </c>
      <c r="AY23" s="54" t="s">
        <v>329</v>
      </c>
      <c r="AZ23" s="54" t="s">
        <v>491</v>
      </c>
      <c r="BA23" s="75" t="s">
        <v>473</v>
      </c>
      <c r="BC23" s="55">
        <f>AW23+AX23</f>
        <v>0</v>
      </c>
      <c r="BD23" s="55">
        <f>H23/(100-BE23)*100</f>
        <v>0</v>
      </c>
      <c r="BE23" s="55">
        <v>0</v>
      </c>
      <c r="BF23" s="55">
        <f>O23</f>
        <v>12</v>
      </c>
      <c r="BH23" s="55">
        <f>G23*AO23</f>
        <v>0</v>
      </c>
      <c r="BI23" s="55">
        <f>G23*AP23</f>
        <v>0</v>
      </c>
      <c r="BJ23" s="55">
        <f>G23*H23</f>
        <v>0</v>
      </c>
      <c r="BK23" s="54" t="s">
        <v>161</v>
      </c>
      <c r="BL23" s="55">
        <v>96</v>
      </c>
      <c r="BW23" s="55">
        <f>I23</f>
        <v>21</v>
      </c>
      <c r="BX23" s="16" t="s">
        <v>372</v>
      </c>
    </row>
    <row r="24" spans="1:76" ht="15" customHeight="1" x14ac:dyDescent="0.3">
      <c r="A24" s="88"/>
      <c r="B24" s="89" t="s">
        <v>106</v>
      </c>
      <c r="C24" s="89" t="s">
        <v>376</v>
      </c>
      <c r="D24" s="198" t="s">
        <v>377</v>
      </c>
      <c r="E24" s="198"/>
      <c r="F24" s="88" t="s">
        <v>96</v>
      </c>
      <c r="G24" s="90" t="s">
        <v>96</v>
      </c>
      <c r="H24" s="88" t="s">
        <v>96</v>
      </c>
      <c r="I24" s="88" t="s">
        <v>96</v>
      </c>
      <c r="J24" s="91">
        <f>SUM(J25)</f>
        <v>0</v>
      </c>
      <c r="K24" s="91">
        <f>SUM(K25)</f>
        <v>0</v>
      </c>
      <c r="L24" s="91">
        <f>SUM(L25)</f>
        <v>0</v>
      </c>
      <c r="M24" s="91">
        <f>SUM(M25)</f>
        <v>0</v>
      </c>
      <c r="N24" s="92"/>
      <c r="O24" s="91">
        <f>SUM(O25)</f>
        <v>0.37</v>
      </c>
      <c r="P24" s="92"/>
      <c r="AI24" s="75" t="s">
        <v>106</v>
      </c>
      <c r="AS24" s="68">
        <f>SUM(AJ25)</f>
        <v>0</v>
      </c>
      <c r="AT24" s="68">
        <f>SUM(AK25)</f>
        <v>0</v>
      </c>
      <c r="AU24" s="68">
        <f>SUM(AL25)</f>
        <v>0</v>
      </c>
    </row>
    <row r="25" spans="1:76" ht="15" customHeight="1" x14ac:dyDescent="0.3">
      <c r="A25" s="94" t="s">
        <v>190</v>
      </c>
      <c r="B25" s="94" t="s">
        <v>106</v>
      </c>
      <c r="C25" s="94" t="s">
        <v>379</v>
      </c>
      <c r="D25" s="199" t="s">
        <v>494</v>
      </c>
      <c r="E25" s="199"/>
      <c r="F25" s="94" t="s">
        <v>176</v>
      </c>
      <c r="G25" s="96">
        <f>'Stavební rozpočet'!G129</f>
        <v>10</v>
      </c>
      <c r="H25" s="97">
        <f>'Stavební rozpočet'!H129</f>
        <v>0</v>
      </c>
      <c r="I25" s="98">
        <v>21</v>
      </c>
      <c r="J25" s="97">
        <f>ROUND(G25*AO25,2)</f>
        <v>0</v>
      </c>
      <c r="K25" s="97">
        <f>ROUND(G25*AP25,2)</f>
        <v>0</v>
      </c>
      <c r="L25" s="97">
        <f>ROUND(G25*H25,2)</f>
        <v>0</v>
      </c>
      <c r="M25" s="97">
        <f>L25*(1+BW25/100)</f>
        <v>0</v>
      </c>
      <c r="N25" s="97">
        <f>'Stavební rozpočet'!N129</f>
        <v>3.6999999999999998E-2</v>
      </c>
      <c r="O25" s="97">
        <f>G25*N25</f>
        <v>0.37</v>
      </c>
      <c r="P25" s="99" t="s">
        <v>156</v>
      </c>
      <c r="Z25" s="55">
        <f>ROUND(IF(AQ25="5",BJ25,0),2)</f>
        <v>0</v>
      </c>
      <c r="AB25" s="55">
        <f>ROUND(IF(AQ25="1",BH25,0),2)</f>
        <v>0</v>
      </c>
      <c r="AC25" s="55">
        <f>ROUND(IF(AQ25="1",BI25,0),2)</f>
        <v>0</v>
      </c>
      <c r="AD25" s="55">
        <f>ROUND(IF(AQ25="7",BH25,0),2)</f>
        <v>0</v>
      </c>
      <c r="AE25" s="55">
        <f>ROUND(IF(AQ25="7",BI25,0),2)</f>
        <v>0</v>
      </c>
      <c r="AF25" s="55">
        <f>ROUND(IF(AQ25="2",BH25,0),2)</f>
        <v>0</v>
      </c>
      <c r="AG25" s="55">
        <f>ROUND(IF(AQ25="2",BI25,0),2)</f>
        <v>0</v>
      </c>
      <c r="AH25" s="55">
        <f>ROUND(IF(AQ25="0",BJ25,0),2)</f>
        <v>0</v>
      </c>
      <c r="AI25" s="75" t="s">
        <v>106</v>
      </c>
      <c r="AJ25" s="55">
        <f>IF(AN25=0,L25,0)</f>
        <v>0</v>
      </c>
      <c r="AK25" s="55">
        <f>IF(AN25=12,L25,0)</f>
        <v>0</v>
      </c>
      <c r="AL25" s="55">
        <f>IF(AN25=21,L25,0)</f>
        <v>0</v>
      </c>
      <c r="AN25" s="55">
        <v>21</v>
      </c>
      <c r="AO25" s="55">
        <f>H25*0</f>
        <v>0</v>
      </c>
      <c r="AP25" s="55">
        <f>H25*(1-0)</f>
        <v>0</v>
      </c>
      <c r="AQ25" s="54" t="s">
        <v>152</v>
      </c>
      <c r="AV25" s="55">
        <f>ROUND(AW25+AX25,2)</f>
        <v>0</v>
      </c>
      <c r="AW25" s="55">
        <f>ROUND(G25*AO25,2)</f>
        <v>0</v>
      </c>
      <c r="AX25" s="55">
        <f>ROUND(G25*AP25,2)</f>
        <v>0</v>
      </c>
      <c r="AY25" s="54" t="s">
        <v>381</v>
      </c>
      <c r="AZ25" s="54" t="s">
        <v>491</v>
      </c>
      <c r="BA25" s="75" t="s">
        <v>473</v>
      </c>
      <c r="BC25" s="55">
        <f>AW25+AX25</f>
        <v>0</v>
      </c>
      <c r="BD25" s="55">
        <f>H25/(100-BE25)*100</f>
        <v>0</v>
      </c>
      <c r="BE25" s="55">
        <v>0</v>
      </c>
      <c r="BF25" s="55">
        <f>O25</f>
        <v>0.37</v>
      </c>
      <c r="BH25" s="55">
        <f>G25*AO25</f>
        <v>0</v>
      </c>
      <c r="BI25" s="55">
        <f>G25*AP25</f>
        <v>0</v>
      </c>
      <c r="BJ25" s="55">
        <f>G25*H25</f>
        <v>0</v>
      </c>
      <c r="BK25" s="54" t="s">
        <v>161</v>
      </c>
      <c r="BL25" s="55">
        <v>97</v>
      </c>
      <c r="BW25" s="55">
        <f>I25</f>
        <v>21</v>
      </c>
      <c r="BX25" s="16" t="s">
        <v>494</v>
      </c>
    </row>
    <row r="26" spans="1:76" ht="15" customHeight="1" x14ac:dyDescent="0.3">
      <c r="A26" s="88"/>
      <c r="B26" s="89" t="s">
        <v>106</v>
      </c>
      <c r="C26" s="89" t="s">
        <v>398</v>
      </c>
      <c r="D26" s="198" t="s">
        <v>399</v>
      </c>
      <c r="E26" s="198"/>
      <c r="F26" s="88" t="s">
        <v>96</v>
      </c>
      <c r="G26" s="90" t="s">
        <v>96</v>
      </c>
      <c r="H26" s="88" t="s">
        <v>96</v>
      </c>
      <c r="I26" s="88" t="s">
        <v>96</v>
      </c>
      <c r="J26" s="91">
        <f>SUM(J27:J29)</f>
        <v>0</v>
      </c>
      <c r="K26" s="91">
        <f>SUM(K27:K29)</f>
        <v>0</v>
      </c>
      <c r="L26" s="91">
        <f>SUM(L27:L29)</f>
        <v>0</v>
      </c>
      <c r="M26" s="91">
        <f>SUM(M27:M29)</f>
        <v>0</v>
      </c>
      <c r="N26" s="92"/>
      <c r="O26" s="91">
        <f>SUM(O27:O29)</f>
        <v>0</v>
      </c>
      <c r="P26" s="92"/>
      <c r="AI26" s="75" t="s">
        <v>106</v>
      </c>
      <c r="AS26" s="68">
        <f>SUM(AJ27:AJ29)</f>
        <v>0</v>
      </c>
      <c r="AT26" s="68">
        <f>SUM(AK27:AK29)</f>
        <v>0</v>
      </c>
      <c r="AU26" s="68">
        <f>SUM(AL27:AL29)</f>
        <v>0</v>
      </c>
    </row>
    <row r="27" spans="1:76" ht="15" customHeight="1" x14ac:dyDescent="0.3">
      <c r="A27" s="94" t="s">
        <v>195</v>
      </c>
      <c r="B27" s="94" t="s">
        <v>106</v>
      </c>
      <c r="C27" s="94" t="s">
        <v>453</v>
      </c>
      <c r="D27" s="199" t="s">
        <v>454</v>
      </c>
      <c r="E27" s="199"/>
      <c r="F27" s="94" t="s">
        <v>323</v>
      </c>
      <c r="G27" s="96">
        <f>'Stavební rozpočet'!G131</f>
        <v>98.585999999999999</v>
      </c>
      <c r="H27" s="97">
        <f>'Stavební rozpočet'!H131</f>
        <v>0</v>
      </c>
      <c r="I27" s="98">
        <v>21</v>
      </c>
      <c r="J27" s="97">
        <f>ROUND(G27*AO27,2)</f>
        <v>0</v>
      </c>
      <c r="K27" s="97">
        <f>ROUND(G27*AP27,2)</f>
        <v>0</v>
      </c>
      <c r="L27" s="97">
        <f>ROUND(G27*H27,2)</f>
        <v>0</v>
      </c>
      <c r="M27" s="97">
        <f>L27*(1+BW27/100)</f>
        <v>0</v>
      </c>
      <c r="N27" s="97">
        <f>'Stavební rozpočet'!N131</f>
        <v>0</v>
      </c>
      <c r="O27" s="97">
        <f>G27*N27</f>
        <v>0</v>
      </c>
      <c r="P27" s="99" t="s">
        <v>156</v>
      </c>
      <c r="Z27" s="55">
        <f>ROUND(IF(AQ27="5",BJ27,0),2)</f>
        <v>0</v>
      </c>
      <c r="AB27" s="55">
        <f>ROUND(IF(AQ27="1",BH27,0),2)</f>
        <v>0</v>
      </c>
      <c r="AC27" s="55">
        <f>ROUND(IF(AQ27="1",BI27,0),2)</f>
        <v>0</v>
      </c>
      <c r="AD27" s="55">
        <f>ROUND(IF(AQ27="7",BH27,0),2)</f>
        <v>0</v>
      </c>
      <c r="AE27" s="55">
        <f>ROUND(IF(AQ27="7",BI27,0),2)</f>
        <v>0</v>
      </c>
      <c r="AF27" s="55">
        <f>ROUND(IF(AQ27="2",BH27,0),2)</f>
        <v>0</v>
      </c>
      <c r="AG27" s="55">
        <f>ROUND(IF(AQ27="2",BI27,0),2)</f>
        <v>0</v>
      </c>
      <c r="AH27" s="55">
        <f>ROUND(IF(AQ27="0",BJ27,0),2)</f>
        <v>0</v>
      </c>
      <c r="AI27" s="75" t="s">
        <v>106</v>
      </c>
      <c r="AJ27" s="55">
        <f>IF(AN27=0,L27,0)</f>
        <v>0</v>
      </c>
      <c r="AK27" s="55">
        <f>IF(AN27=12,L27,0)</f>
        <v>0</v>
      </c>
      <c r="AL27" s="55">
        <f>IF(AN27=21,L27,0)</f>
        <v>0</v>
      </c>
      <c r="AN27" s="55">
        <v>21</v>
      </c>
      <c r="AO27" s="55">
        <f>H27*0</f>
        <v>0</v>
      </c>
      <c r="AP27" s="55">
        <f>H27*(1-0)</f>
        <v>0</v>
      </c>
      <c r="AQ27" s="54" t="s">
        <v>179</v>
      </c>
      <c r="AV27" s="55">
        <f>ROUND(AW27+AX27,2)</f>
        <v>0</v>
      </c>
      <c r="AW27" s="55">
        <f>ROUND(G27*AO27,2)</f>
        <v>0</v>
      </c>
      <c r="AX27" s="55">
        <f>ROUND(G27*AP27,2)</f>
        <v>0</v>
      </c>
      <c r="AY27" s="54" t="s">
        <v>403</v>
      </c>
      <c r="AZ27" s="54" t="s">
        <v>491</v>
      </c>
      <c r="BA27" s="75" t="s">
        <v>473</v>
      </c>
      <c r="BC27" s="55">
        <f>AW27+AX27</f>
        <v>0</v>
      </c>
      <c r="BD27" s="55">
        <f>H27/(100-BE27)*100</f>
        <v>0</v>
      </c>
      <c r="BE27" s="55">
        <v>0</v>
      </c>
      <c r="BF27" s="55">
        <f>O27</f>
        <v>0</v>
      </c>
      <c r="BH27" s="55">
        <f>G27*AO27</f>
        <v>0</v>
      </c>
      <c r="BI27" s="55">
        <f>G27*AP27</f>
        <v>0</v>
      </c>
      <c r="BJ27" s="55">
        <f>G27*H27</f>
        <v>0</v>
      </c>
      <c r="BK27" s="54" t="s">
        <v>161</v>
      </c>
      <c r="BL27" s="55"/>
      <c r="BW27" s="55">
        <f>I27</f>
        <v>21</v>
      </c>
      <c r="BX27" s="16" t="s">
        <v>454</v>
      </c>
    </row>
    <row r="28" spans="1:76" ht="15" customHeight="1" x14ac:dyDescent="0.3">
      <c r="A28" s="94" t="s">
        <v>200</v>
      </c>
      <c r="B28" s="94" t="s">
        <v>106</v>
      </c>
      <c r="C28" s="94" t="s">
        <v>456</v>
      </c>
      <c r="D28" s="199" t="s">
        <v>457</v>
      </c>
      <c r="E28" s="199"/>
      <c r="F28" s="94" t="s">
        <v>323</v>
      </c>
      <c r="G28" s="96">
        <f>'Stavební rozpočet'!G132</f>
        <v>788.68799999999999</v>
      </c>
      <c r="H28" s="97">
        <f>'Stavební rozpočet'!H132</f>
        <v>0</v>
      </c>
      <c r="I28" s="98">
        <v>21</v>
      </c>
      <c r="J28" s="97">
        <f>ROUND(G28*AO28,2)</f>
        <v>0</v>
      </c>
      <c r="K28" s="97">
        <f>ROUND(G28*AP28,2)</f>
        <v>0</v>
      </c>
      <c r="L28" s="97">
        <f>ROUND(G28*H28,2)</f>
        <v>0</v>
      </c>
      <c r="M28" s="97">
        <f>L28*(1+BW28/100)</f>
        <v>0</v>
      </c>
      <c r="N28" s="97">
        <f>'Stavební rozpočet'!N132</f>
        <v>0</v>
      </c>
      <c r="O28" s="97">
        <f>G28*N28</f>
        <v>0</v>
      </c>
      <c r="P28" s="99" t="s">
        <v>156</v>
      </c>
      <c r="Z28" s="55">
        <f>ROUND(IF(AQ28="5",BJ28,0),2)</f>
        <v>0</v>
      </c>
      <c r="AB28" s="55">
        <f>ROUND(IF(AQ28="1",BH28,0),2)</f>
        <v>0</v>
      </c>
      <c r="AC28" s="55">
        <f>ROUND(IF(AQ28="1",BI28,0),2)</f>
        <v>0</v>
      </c>
      <c r="AD28" s="55">
        <f>ROUND(IF(AQ28="7",BH28,0),2)</f>
        <v>0</v>
      </c>
      <c r="AE28" s="55">
        <f>ROUND(IF(AQ28="7",BI28,0),2)</f>
        <v>0</v>
      </c>
      <c r="AF28" s="55">
        <f>ROUND(IF(AQ28="2",BH28,0),2)</f>
        <v>0</v>
      </c>
      <c r="AG28" s="55">
        <f>ROUND(IF(AQ28="2",BI28,0),2)</f>
        <v>0</v>
      </c>
      <c r="AH28" s="55">
        <f>ROUND(IF(AQ28="0",BJ28,0),2)</f>
        <v>0</v>
      </c>
      <c r="AI28" s="75" t="s">
        <v>106</v>
      </c>
      <c r="AJ28" s="55">
        <f>IF(AN28=0,L28,0)</f>
        <v>0</v>
      </c>
      <c r="AK28" s="55">
        <f>IF(AN28=12,L28,0)</f>
        <v>0</v>
      </c>
      <c r="AL28" s="55">
        <f>IF(AN28=21,L28,0)</f>
        <v>0</v>
      </c>
      <c r="AN28" s="55">
        <v>21</v>
      </c>
      <c r="AO28" s="55">
        <f>H28*0</f>
        <v>0</v>
      </c>
      <c r="AP28" s="55">
        <f>H28*(1-0)</f>
        <v>0</v>
      </c>
      <c r="AQ28" s="54" t="s">
        <v>179</v>
      </c>
      <c r="AV28" s="55">
        <f>ROUND(AW28+AX28,2)</f>
        <v>0</v>
      </c>
      <c r="AW28" s="55">
        <f>ROUND(G28*AO28,2)</f>
        <v>0</v>
      </c>
      <c r="AX28" s="55">
        <f>ROUND(G28*AP28,2)</f>
        <v>0</v>
      </c>
      <c r="AY28" s="54" t="s">
        <v>403</v>
      </c>
      <c r="AZ28" s="54" t="s">
        <v>491</v>
      </c>
      <c r="BA28" s="75" t="s">
        <v>473</v>
      </c>
      <c r="BC28" s="55">
        <f>AW28+AX28</f>
        <v>0</v>
      </c>
      <c r="BD28" s="55">
        <f>H28/(100-BE28)*100</f>
        <v>0</v>
      </c>
      <c r="BE28" s="55">
        <v>0</v>
      </c>
      <c r="BF28" s="55">
        <f>O28</f>
        <v>0</v>
      </c>
      <c r="BH28" s="55">
        <f>G28*AO28</f>
        <v>0</v>
      </c>
      <c r="BI28" s="55">
        <f>G28*AP28</f>
        <v>0</v>
      </c>
      <c r="BJ28" s="55">
        <f>G28*H28</f>
        <v>0</v>
      </c>
      <c r="BK28" s="54" t="s">
        <v>161</v>
      </c>
      <c r="BL28" s="55"/>
      <c r="BW28" s="55">
        <f>I28</f>
        <v>21</v>
      </c>
      <c r="BX28" s="16" t="s">
        <v>457</v>
      </c>
    </row>
    <row r="29" spans="1:76" ht="24" customHeight="1" x14ac:dyDescent="0.3">
      <c r="A29" s="94" t="s">
        <v>203</v>
      </c>
      <c r="B29" s="94" t="s">
        <v>106</v>
      </c>
      <c r="C29" s="94" t="s">
        <v>405</v>
      </c>
      <c r="D29" s="199" t="s">
        <v>406</v>
      </c>
      <c r="E29" s="199"/>
      <c r="F29" s="94" t="s">
        <v>323</v>
      </c>
      <c r="G29" s="96">
        <f>'Stavební rozpočet'!G133</f>
        <v>98.585999999999999</v>
      </c>
      <c r="H29" s="97">
        <f>'Stavební rozpočet'!H133</f>
        <v>0</v>
      </c>
      <c r="I29" s="98">
        <v>21</v>
      </c>
      <c r="J29" s="97">
        <f>ROUND(G29*AO29,2)</f>
        <v>0</v>
      </c>
      <c r="K29" s="97">
        <f>ROUND(G29*AP29,2)</f>
        <v>0</v>
      </c>
      <c r="L29" s="97">
        <f>ROUND(G29*H29,2)</f>
        <v>0</v>
      </c>
      <c r="M29" s="97">
        <f>L29*(1+BW29/100)</f>
        <v>0</v>
      </c>
      <c r="N29" s="97">
        <f>'Stavební rozpočet'!N133</f>
        <v>0</v>
      </c>
      <c r="O29" s="97">
        <f>G29*N29</f>
        <v>0</v>
      </c>
      <c r="P29" s="99" t="s">
        <v>156</v>
      </c>
      <c r="Z29" s="55">
        <f>ROUND(IF(AQ29="5",BJ29,0),2)</f>
        <v>0</v>
      </c>
      <c r="AB29" s="55">
        <f>ROUND(IF(AQ29="1",BH29,0),2)</f>
        <v>0</v>
      </c>
      <c r="AC29" s="55">
        <f>ROUND(IF(AQ29="1",BI29,0),2)</f>
        <v>0</v>
      </c>
      <c r="AD29" s="55">
        <f>ROUND(IF(AQ29="7",BH29,0),2)</f>
        <v>0</v>
      </c>
      <c r="AE29" s="55">
        <f>ROUND(IF(AQ29="7",BI29,0),2)</f>
        <v>0</v>
      </c>
      <c r="AF29" s="55">
        <f>ROUND(IF(AQ29="2",BH29,0),2)</f>
        <v>0</v>
      </c>
      <c r="AG29" s="55">
        <f>ROUND(IF(AQ29="2",BI29,0),2)</f>
        <v>0</v>
      </c>
      <c r="AH29" s="55">
        <f>ROUND(IF(AQ29="0",BJ29,0),2)</f>
        <v>0</v>
      </c>
      <c r="AI29" s="75" t="s">
        <v>106</v>
      </c>
      <c r="AJ29" s="55">
        <f>IF(AN29=0,L29,0)</f>
        <v>0</v>
      </c>
      <c r="AK29" s="55">
        <f>IF(AN29=12,L29,0)</f>
        <v>0</v>
      </c>
      <c r="AL29" s="55">
        <f>IF(AN29=21,L29,0)</f>
        <v>0</v>
      </c>
      <c r="AN29" s="55">
        <v>21</v>
      </c>
      <c r="AO29" s="55">
        <f>H29*0</f>
        <v>0</v>
      </c>
      <c r="AP29" s="55">
        <f>H29*(1-0)</f>
        <v>0</v>
      </c>
      <c r="AQ29" s="54" t="s">
        <v>179</v>
      </c>
      <c r="AV29" s="55">
        <f>ROUND(AW29+AX29,2)</f>
        <v>0</v>
      </c>
      <c r="AW29" s="55">
        <f>ROUND(G29*AO29,2)</f>
        <v>0</v>
      </c>
      <c r="AX29" s="55">
        <f>ROUND(G29*AP29,2)</f>
        <v>0</v>
      </c>
      <c r="AY29" s="54" t="s">
        <v>403</v>
      </c>
      <c r="AZ29" s="54" t="s">
        <v>491</v>
      </c>
      <c r="BA29" s="75" t="s">
        <v>473</v>
      </c>
      <c r="BC29" s="55">
        <f>AW29+AX29</f>
        <v>0</v>
      </c>
      <c r="BD29" s="55">
        <f>H29/(100-BE29)*100</f>
        <v>0</v>
      </c>
      <c r="BE29" s="55">
        <v>0</v>
      </c>
      <c r="BF29" s="55">
        <f>O29</f>
        <v>0</v>
      </c>
      <c r="BH29" s="55">
        <f>G29*AO29</f>
        <v>0</v>
      </c>
      <c r="BI29" s="55">
        <f>G29*AP29</f>
        <v>0</v>
      </c>
      <c r="BJ29" s="55">
        <f>G29*H29</f>
        <v>0</v>
      </c>
      <c r="BK29" s="54" t="s">
        <v>161</v>
      </c>
      <c r="BL29" s="55"/>
      <c r="BW29" s="55">
        <f>I29</f>
        <v>21</v>
      </c>
      <c r="BX29" s="16" t="s">
        <v>406</v>
      </c>
    </row>
    <row r="30" spans="1:76" ht="19.8" customHeight="1" x14ac:dyDescent="0.3">
      <c r="J30" s="191" t="s">
        <v>113</v>
      </c>
      <c r="K30" s="191"/>
      <c r="L30" s="129">
        <f>ROUND(L13+L15+L18+L21+L24+L26,1)</f>
        <v>0</v>
      </c>
      <c r="M30" s="129">
        <f>ROUND(M13+M15+M18+M21+M24+M26,1)</f>
        <v>0</v>
      </c>
    </row>
    <row r="31" spans="1:76" x14ac:dyDescent="0.3">
      <c r="A31"/>
    </row>
    <row r="32" spans="1:76" hidden="1" x14ac:dyDescent="0.3">
      <c r="A32" s="8"/>
      <c r="B32" s="8"/>
      <c r="C32" s="8"/>
      <c r="D32" s="8"/>
      <c r="E32" s="8"/>
      <c r="F32" s="8"/>
      <c r="G32" s="8"/>
      <c r="H32" s="8"/>
      <c r="I32" s="8"/>
      <c r="J32" s="8"/>
      <c r="K32" s="8"/>
      <c r="L32" s="8"/>
      <c r="M32" s="8"/>
      <c r="N32" s="8"/>
      <c r="O32" s="8"/>
      <c r="P32" s="8"/>
    </row>
  </sheetData>
  <mergeCells count="49">
    <mergeCell ref="D27:E27"/>
    <mergeCell ref="D28:E28"/>
    <mergeCell ref="D29:E29"/>
    <mergeCell ref="J30:K30"/>
    <mergeCell ref="A32:P32"/>
    <mergeCell ref="D22:E22"/>
    <mergeCell ref="D23:E23"/>
    <mergeCell ref="D24:E24"/>
    <mergeCell ref="D25:E25"/>
    <mergeCell ref="D26:E26"/>
    <mergeCell ref="D17:E17"/>
    <mergeCell ref="D18:E18"/>
    <mergeCell ref="D19:E19"/>
    <mergeCell ref="D20:E20"/>
    <mergeCell ref="D21:E21"/>
    <mergeCell ref="D12:E12"/>
    <mergeCell ref="D13:E13"/>
    <mergeCell ref="D14:E14"/>
    <mergeCell ref="D15:E15"/>
    <mergeCell ref="D16:E16"/>
    <mergeCell ref="K8:P9"/>
    <mergeCell ref="D10:E10"/>
    <mergeCell ref="J10:L10"/>
    <mergeCell ref="N10:O10"/>
    <mergeCell ref="D11:E11"/>
    <mergeCell ref="A8:C9"/>
    <mergeCell ref="D8:E9"/>
    <mergeCell ref="F8:G9"/>
    <mergeCell ref="H8:H9"/>
    <mergeCell ref="I8:J9"/>
    <mergeCell ref="K4:P5"/>
    <mergeCell ref="A6:C7"/>
    <mergeCell ref="D6:E7"/>
    <mergeCell ref="F6:G7"/>
    <mergeCell ref="H6:H7"/>
    <mergeCell ref="I6:J7"/>
    <mergeCell ref="K6:P7"/>
    <mergeCell ref="A4:C5"/>
    <mergeCell ref="D4:E5"/>
    <mergeCell ref="F4:G5"/>
    <mergeCell ref="H4:H5"/>
    <mergeCell ref="I4:J5"/>
    <mergeCell ref="A1:P1"/>
    <mergeCell ref="A2:C3"/>
    <mergeCell ref="D2:E3"/>
    <mergeCell ref="F2:G3"/>
    <mergeCell ref="H2:H3"/>
    <mergeCell ref="I2:J3"/>
    <mergeCell ref="K2:P3"/>
  </mergeCells>
  <pageMargins left="0.39374999999999999" right="0.39374999999999999" top="0.59097222222222201" bottom="0.59097222222222201" header="0.511811023622047" footer="0.511811023622047"/>
  <pageSetup fitToHeight="0" orientation="landscape"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BDB76B"/>
    <pageSetUpPr fitToPage="1"/>
  </sheetPr>
  <dimension ref="A1:H44"/>
  <sheetViews>
    <sheetView zoomScaleNormal="100" workbookViewId="0"/>
  </sheetViews>
  <sheetFormatPr defaultColWidth="12.109375" defaultRowHeight="14.4" x14ac:dyDescent="0.3"/>
  <cols>
    <col min="1" max="2" width="9.109375" style="22" customWidth="1"/>
    <col min="3" max="3" width="14.33203125" style="22" customWidth="1"/>
    <col min="4" max="4" width="42.88671875" style="22" customWidth="1"/>
    <col min="5" max="5" width="36.109375" style="22" customWidth="1"/>
    <col min="6" max="6" width="28.33203125" style="22" customWidth="1"/>
    <col min="7" max="7" width="15.6640625" style="22" customWidth="1"/>
    <col min="8" max="8" width="20" style="22" customWidth="1"/>
  </cols>
  <sheetData>
    <row r="1" spans="1:8" ht="39.75" customHeight="1" x14ac:dyDescent="0.25">
      <c r="A1" s="205" t="s">
        <v>925</v>
      </c>
      <c r="B1" s="205"/>
      <c r="C1" s="205"/>
      <c r="D1" s="205"/>
      <c r="E1" s="205"/>
      <c r="F1" s="205"/>
      <c r="G1" s="205"/>
      <c r="H1" s="205"/>
    </row>
    <row r="2" spans="1:8" ht="15" customHeight="1" x14ac:dyDescent="0.25">
      <c r="A2" s="13" t="s">
        <v>1</v>
      </c>
      <c r="B2" s="13"/>
      <c r="C2" s="12" t="str">
        <f>'Stavební rozpočet'!D2</f>
        <v>DEMOLICE PANELOVÉHO DOMU V HORNÍM PARKU</v>
      </c>
      <c r="D2" s="12"/>
      <c r="E2" s="11" t="s">
        <v>2</v>
      </c>
      <c r="F2" s="181" t="str">
        <f>'Stavební rozpočet'!J2</f>
        <v>MĚSTO ZNOJMO</v>
      </c>
      <c r="G2" s="181"/>
      <c r="H2" s="181"/>
    </row>
    <row r="3" spans="1:8" ht="15" customHeight="1" x14ac:dyDescent="0.25">
      <c r="A3" s="13"/>
      <c r="B3" s="13"/>
      <c r="C3" s="12"/>
      <c r="D3" s="12"/>
      <c r="E3" s="11"/>
      <c r="F3" s="11"/>
      <c r="G3" s="181"/>
      <c r="H3" s="181"/>
    </row>
    <row r="4" spans="1:8" ht="15" customHeight="1" x14ac:dyDescent="0.25">
      <c r="A4" s="9" t="s">
        <v>4</v>
      </c>
      <c r="B4" s="9"/>
      <c r="C4" s="8" t="str">
        <f>'Stavební rozpočet'!D4</f>
        <v>Postupná demolice panelového domu</v>
      </c>
      <c r="D4" s="8"/>
      <c r="E4" s="8" t="s">
        <v>5</v>
      </c>
      <c r="F4" s="182" t="str">
        <f>'Stavební rozpočet'!J4</f>
        <v>Ing.  Roman Zvěřina, Dolní Česká 358/25, 669 02 Znojmo</v>
      </c>
      <c r="G4" s="182"/>
      <c r="H4" s="182"/>
    </row>
    <row r="5" spans="1:8" ht="15" customHeight="1" x14ac:dyDescent="0.25">
      <c r="A5" s="9"/>
      <c r="B5" s="9"/>
      <c r="C5" s="8"/>
      <c r="D5" s="8"/>
      <c r="E5" s="8"/>
      <c r="F5" s="8"/>
      <c r="G5" s="182"/>
      <c r="H5" s="182"/>
    </row>
    <row r="6" spans="1:8" ht="15" customHeight="1" x14ac:dyDescent="0.25">
      <c r="A6" s="9" t="s">
        <v>7</v>
      </c>
      <c r="B6" s="9"/>
      <c r="C6" s="8" t="str">
        <f>'Stavební rozpočet'!D6</f>
        <v>k.ú.Znojmo-město parc.č.258/5</v>
      </c>
      <c r="D6" s="8"/>
      <c r="E6" s="8" t="s">
        <v>8</v>
      </c>
      <c r="F6" s="182" t="str">
        <f>'Stavební rozpočet'!J6</f>
        <v> </v>
      </c>
      <c r="G6" s="182"/>
      <c r="H6" s="182"/>
    </row>
    <row r="7" spans="1:8" ht="15" customHeight="1" x14ac:dyDescent="0.25">
      <c r="A7" s="9"/>
      <c r="B7" s="9"/>
      <c r="C7" s="8"/>
      <c r="D7" s="8"/>
      <c r="E7" s="8"/>
      <c r="F7" s="8"/>
      <c r="G7" s="182"/>
      <c r="H7" s="182"/>
    </row>
    <row r="8" spans="1:8" ht="15" customHeight="1" x14ac:dyDescent="0.25">
      <c r="A8" s="9" t="s">
        <v>13</v>
      </c>
      <c r="B8" s="9"/>
      <c r="C8" s="8" t="str">
        <f>'Stavební rozpočet'!J8</f>
        <v>Bohuslav Hemala</v>
      </c>
      <c r="D8" s="8"/>
      <c r="E8" s="8" t="s">
        <v>95</v>
      </c>
      <c r="F8" s="182" t="str">
        <f>'Stavební rozpočet'!H8</f>
        <v>16.05.2025</v>
      </c>
      <c r="G8" s="182"/>
      <c r="H8" s="182"/>
    </row>
    <row r="9" spans="1:8" ht="13.2" x14ac:dyDescent="0.25">
      <c r="A9" s="9"/>
      <c r="B9" s="9"/>
      <c r="C9" s="8"/>
      <c r="D9" s="8"/>
      <c r="E9" s="8"/>
      <c r="F9" s="8"/>
      <c r="G9" s="182"/>
      <c r="H9" s="182"/>
    </row>
    <row r="10" spans="1:8" ht="13.2" x14ac:dyDescent="0.25">
      <c r="A10" s="130" t="s">
        <v>122</v>
      </c>
      <c r="B10" s="131" t="s">
        <v>99</v>
      </c>
      <c r="C10" s="131" t="s">
        <v>123</v>
      </c>
      <c r="D10" s="209" t="s">
        <v>100</v>
      </c>
      <c r="E10" s="209"/>
      <c r="F10" s="131" t="s">
        <v>124</v>
      </c>
      <c r="G10" s="132" t="s">
        <v>125</v>
      </c>
      <c r="H10" s="133" t="s">
        <v>685</v>
      </c>
    </row>
    <row r="11" spans="1:8" ht="13.2" x14ac:dyDescent="0.25">
      <c r="A11" s="89"/>
      <c r="B11" s="89" t="s">
        <v>686</v>
      </c>
      <c r="C11" s="89" t="s">
        <v>203</v>
      </c>
      <c r="D11" s="210" t="s">
        <v>467</v>
      </c>
      <c r="E11" s="210"/>
      <c r="F11" s="89"/>
      <c r="G11" s="92"/>
      <c r="H11" s="92"/>
    </row>
    <row r="12" spans="1:8" ht="13.2" x14ac:dyDescent="0.25">
      <c r="A12" s="89"/>
      <c r="B12" s="89" t="s">
        <v>686</v>
      </c>
      <c r="C12" s="89" t="s">
        <v>223</v>
      </c>
      <c r="D12" s="210" t="s">
        <v>474</v>
      </c>
      <c r="E12" s="210"/>
      <c r="F12" s="89"/>
      <c r="G12" s="92"/>
      <c r="H12" s="92"/>
    </row>
    <row r="13" spans="1:8" ht="13.2" x14ac:dyDescent="0.25">
      <c r="A13" s="89"/>
      <c r="B13" s="89" t="s">
        <v>686</v>
      </c>
      <c r="C13" s="89" t="s">
        <v>228</v>
      </c>
      <c r="D13" s="210" t="s">
        <v>482</v>
      </c>
      <c r="E13" s="210"/>
      <c r="F13" s="89"/>
      <c r="G13" s="92"/>
      <c r="H13" s="92"/>
    </row>
    <row r="14" spans="1:8" ht="13.2" x14ac:dyDescent="0.25">
      <c r="A14" s="89"/>
      <c r="B14" s="89" t="s">
        <v>686</v>
      </c>
      <c r="C14" s="89" t="s">
        <v>324</v>
      </c>
      <c r="D14" s="210" t="s">
        <v>325</v>
      </c>
      <c r="E14" s="210"/>
      <c r="F14" s="89"/>
      <c r="G14" s="92"/>
      <c r="H14" s="92"/>
    </row>
    <row r="15" spans="1:8" ht="13.2" x14ac:dyDescent="0.25">
      <c r="A15" s="89"/>
      <c r="B15" s="89" t="s">
        <v>686</v>
      </c>
      <c r="C15" s="89" t="s">
        <v>376</v>
      </c>
      <c r="D15" s="210" t="s">
        <v>377</v>
      </c>
      <c r="E15" s="210"/>
      <c r="F15" s="89"/>
      <c r="G15" s="92"/>
      <c r="H15" s="92"/>
    </row>
    <row r="16" spans="1:8" ht="13.2" x14ac:dyDescent="0.25">
      <c r="A16" s="89"/>
      <c r="B16" s="89" t="s">
        <v>686</v>
      </c>
      <c r="C16" s="89" t="s">
        <v>398</v>
      </c>
      <c r="D16" s="210" t="s">
        <v>399</v>
      </c>
      <c r="E16" s="210"/>
      <c r="F16" s="89"/>
      <c r="G16" s="92"/>
      <c r="H16" s="92"/>
    </row>
    <row r="17" spans="1:8" ht="13.2" x14ac:dyDescent="0.25">
      <c r="A17" s="94" t="s">
        <v>152</v>
      </c>
      <c r="B17" s="94" t="s">
        <v>106</v>
      </c>
      <c r="C17" s="94" t="s">
        <v>469</v>
      </c>
      <c r="D17" s="211" t="s">
        <v>470</v>
      </c>
      <c r="E17" s="211"/>
      <c r="F17" s="94" t="s">
        <v>155</v>
      </c>
      <c r="G17" s="97">
        <v>202.381</v>
      </c>
      <c r="H17" s="97">
        <v>0</v>
      </c>
    </row>
    <row r="18" spans="1:8" x14ac:dyDescent="0.3">
      <c r="A18" s="134"/>
      <c r="B18" s="134"/>
      <c r="C18" s="134"/>
      <c r="D18" s="136" t="s">
        <v>802</v>
      </c>
      <c r="E18" s="207" t="s">
        <v>803</v>
      </c>
      <c r="F18" s="207"/>
      <c r="G18" s="137">
        <v>166.27500000000001</v>
      </c>
      <c r="H18" s="134"/>
    </row>
    <row r="19" spans="1:8" ht="13.2" x14ac:dyDescent="0.25">
      <c r="A19" s="94"/>
      <c r="B19" s="94"/>
      <c r="C19" s="94"/>
      <c r="D19" s="136" t="s">
        <v>804</v>
      </c>
      <c r="E19" s="207" t="s">
        <v>805</v>
      </c>
      <c r="F19" s="207"/>
      <c r="G19" s="137">
        <v>-8.8940000000000001</v>
      </c>
      <c r="H19" s="99"/>
    </row>
    <row r="20" spans="1:8" ht="13.2" x14ac:dyDescent="0.25">
      <c r="A20" s="94"/>
      <c r="B20" s="94"/>
      <c r="C20" s="94"/>
      <c r="D20" s="136" t="s">
        <v>806</v>
      </c>
      <c r="E20" s="207" t="s">
        <v>807</v>
      </c>
      <c r="F20" s="207"/>
      <c r="G20" s="137">
        <v>45</v>
      </c>
      <c r="H20" s="99"/>
    </row>
    <row r="21" spans="1:8" ht="13.2" x14ac:dyDescent="0.25">
      <c r="A21" s="94" t="s">
        <v>162</v>
      </c>
      <c r="B21" s="94" t="s">
        <v>106</v>
      </c>
      <c r="C21" s="94" t="s">
        <v>476</v>
      </c>
      <c r="D21" s="211" t="s">
        <v>477</v>
      </c>
      <c r="E21" s="211"/>
      <c r="F21" s="94" t="s">
        <v>366</v>
      </c>
      <c r="G21" s="97">
        <v>71.153999999999996</v>
      </c>
      <c r="H21" s="97">
        <v>0</v>
      </c>
    </row>
    <row r="22" spans="1:8" x14ac:dyDescent="0.3">
      <c r="A22" s="134"/>
      <c r="B22" s="134"/>
      <c r="C22" s="134"/>
      <c r="D22" s="136" t="s">
        <v>808</v>
      </c>
      <c r="E22" s="207"/>
      <c r="F22" s="207"/>
      <c r="G22" s="137">
        <v>71.153999999999996</v>
      </c>
      <c r="H22" s="134"/>
    </row>
    <row r="23" spans="1:8" ht="13.2" x14ac:dyDescent="0.25">
      <c r="A23" s="94" t="s">
        <v>167</v>
      </c>
      <c r="B23" s="94" t="s">
        <v>106</v>
      </c>
      <c r="C23" s="94" t="s">
        <v>480</v>
      </c>
      <c r="D23" s="211" t="s">
        <v>481</v>
      </c>
      <c r="E23" s="211"/>
      <c r="F23" s="94" t="s">
        <v>366</v>
      </c>
      <c r="G23" s="97">
        <v>569.23199999999997</v>
      </c>
      <c r="H23" s="97">
        <v>0</v>
      </c>
    </row>
    <row r="24" spans="1:8" x14ac:dyDescent="0.3">
      <c r="A24" s="134"/>
      <c r="B24" s="134"/>
      <c r="C24" s="134"/>
      <c r="D24" s="136" t="s">
        <v>809</v>
      </c>
      <c r="E24" s="207"/>
      <c r="F24" s="207"/>
      <c r="G24" s="137">
        <v>569.23199999999997</v>
      </c>
      <c r="H24" s="134"/>
    </row>
    <row r="25" spans="1:8" ht="13.2" x14ac:dyDescent="0.25">
      <c r="A25" s="94" t="s">
        <v>173</v>
      </c>
      <c r="B25" s="94" t="s">
        <v>106</v>
      </c>
      <c r="C25" s="94" t="s">
        <v>484</v>
      </c>
      <c r="D25" s="211" t="s">
        <v>485</v>
      </c>
      <c r="E25" s="211"/>
      <c r="F25" s="94" t="s">
        <v>366</v>
      </c>
      <c r="G25" s="97">
        <v>71.153999999999996</v>
      </c>
      <c r="H25" s="97">
        <v>0</v>
      </c>
    </row>
    <row r="26" spans="1:8" x14ac:dyDescent="0.3">
      <c r="A26" s="134"/>
      <c r="B26" s="134"/>
      <c r="C26" s="134"/>
      <c r="D26" s="136" t="s">
        <v>808</v>
      </c>
      <c r="E26" s="207"/>
      <c r="F26" s="207"/>
      <c r="G26" s="137">
        <v>71.153999999999996</v>
      </c>
      <c r="H26" s="134"/>
    </row>
    <row r="27" spans="1:8" ht="13.2" x14ac:dyDescent="0.25">
      <c r="A27" s="105" t="s">
        <v>179</v>
      </c>
      <c r="B27" s="105" t="s">
        <v>106</v>
      </c>
      <c r="C27" s="105" t="s">
        <v>487</v>
      </c>
      <c r="D27" s="212" t="s">
        <v>488</v>
      </c>
      <c r="E27" s="212"/>
      <c r="F27" s="105" t="s">
        <v>323</v>
      </c>
      <c r="G27" s="108">
        <v>113.846</v>
      </c>
      <c r="H27" s="108">
        <v>0</v>
      </c>
    </row>
    <row r="28" spans="1:8" x14ac:dyDescent="0.3">
      <c r="A28" s="134"/>
      <c r="B28" s="134"/>
      <c r="C28" s="134"/>
      <c r="D28" s="136" t="s">
        <v>810</v>
      </c>
      <c r="E28" s="207"/>
      <c r="F28" s="207"/>
      <c r="G28" s="138">
        <v>113.846</v>
      </c>
      <c r="H28" s="134"/>
    </row>
    <row r="29" spans="1:8" ht="13.2" x14ac:dyDescent="0.25">
      <c r="A29" s="94" t="s">
        <v>182</v>
      </c>
      <c r="B29" s="94" t="s">
        <v>106</v>
      </c>
      <c r="C29" s="94" t="s">
        <v>374</v>
      </c>
      <c r="D29" s="211" t="s">
        <v>375</v>
      </c>
      <c r="E29" s="211"/>
      <c r="F29" s="94" t="s">
        <v>366</v>
      </c>
      <c r="G29" s="97">
        <v>9</v>
      </c>
      <c r="H29" s="97">
        <v>0</v>
      </c>
    </row>
    <row r="30" spans="1:8" x14ac:dyDescent="0.3">
      <c r="A30" s="134"/>
      <c r="B30" s="134"/>
      <c r="C30" s="134"/>
      <c r="D30" s="136" t="s">
        <v>811</v>
      </c>
      <c r="E30" s="207" t="s">
        <v>812</v>
      </c>
      <c r="F30" s="207"/>
      <c r="G30" s="137">
        <v>4.5</v>
      </c>
      <c r="H30" s="134"/>
    </row>
    <row r="31" spans="1:8" ht="13.2" x14ac:dyDescent="0.25">
      <c r="A31" s="94"/>
      <c r="B31" s="94"/>
      <c r="C31" s="94"/>
      <c r="D31" s="136" t="s">
        <v>811</v>
      </c>
      <c r="E31" s="207" t="s">
        <v>813</v>
      </c>
      <c r="F31" s="207"/>
      <c r="G31" s="137">
        <v>4.5</v>
      </c>
      <c r="H31" s="99"/>
    </row>
    <row r="32" spans="1:8" ht="13.2" x14ac:dyDescent="0.25">
      <c r="A32" s="94" t="s">
        <v>157</v>
      </c>
      <c r="B32" s="94" t="s">
        <v>106</v>
      </c>
      <c r="C32" s="94" t="s">
        <v>371</v>
      </c>
      <c r="D32" s="211" t="s">
        <v>372</v>
      </c>
      <c r="E32" s="211"/>
      <c r="F32" s="94" t="s">
        <v>366</v>
      </c>
      <c r="G32" s="97">
        <v>6</v>
      </c>
      <c r="H32" s="97">
        <v>0</v>
      </c>
    </row>
    <row r="33" spans="1:8" x14ac:dyDescent="0.3">
      <c r="A33" s="134"/>
      <c r="B33" s="134"/>
      <c r="C33" s="134"/>
      <c r="D33" s="136" t="s">
        <v>814</v>
      </c>
      <c r="E33" s="207" t="s">
        <v>815</v>
      </c>
      <c r="F33" s="207"/>
      <c r="G33" s="137">
        <v>6</v>
      </c>
      <c r="H33" s="134"/>
    </row>
    <row r="34" spans="1:8" ht="13.2" x14ac:dyDescent="0.25">
      <c r="A34" s="94" t="s">
        <v>190</v>
      </c>
      <c r="B34" s="94" t="s">
        <v>106</v>
      </c>
      <c r="C34" s="94" t="s">
        <v>379</v>
      </c>
      <c r="D34" s="211" t="s">
        <v>494</v>
      </c>
      <c r="E34" s="211"/>
      <c r="F34" s="94" t="s">
        <v>176</v>
      </c>
      <c r="G34" s="97">
        <v>10</v>
      </c>
      <c r="H34" s="97">
        <v>0</v>
      </c>
    </row>
    <row r="35" spans="1:8" x14ac:dyDescent="0.3">
      <c r="A35" s="134"/>
      <c r="B35" s="134"/>
      <c r="C35" s="134"/>
      <c r="D35" s="136" t="s">
        <v>200</v>
      </c>
      <c r="E35" s="207"/>
      <c r="F35" s="207"/>
      <c r="G35" s="137">
        <v>10</v>
      </c>
      <c r="H35" s="134"/>
    </row>
    <row r="36" spans="1:8" ht="13.2" x14ac:dyDescent="0.25">
      <c r="A36" s="94" t="s">
        <v>195</v>
      </c>
      <c r="B36" s="94" t="s">
        <v>106</v>
      </c>
      <c r="C36" s="94" t="s">
        <v>453</v>
      </c>
      <c r="D36" s="211" t="s">
        <v>454</v>
      </c>
      <c r="E36" s="211"/>
      <c r="F36" s="94" t="s">
        <v>323</v>
      </c>
      <c r="G36" s="97">
        <v>98.585999999999999</v>
      </c>
      <c r="H36" s="97">
        <v>0</v>
      </c>
    </row>
    <row r="37" spans="1:8" x14ac:dyDescent="0.3">
      <c r="A37" s="134"/>
      <c r="B37" s="134"/>
      <c r="C37" s="134"/>
      <c r="D37" s="136" t="s">
        <v>816</v>
      </c>
      <c r="E37" s="207"/>
      <c r="F37" s="207"/>
      <c r="G37" s="137">
        <v>98.585999999999999</v>
      </c>
      <c r="H37" s="134"/>
    </row>
    <row r="38" spans="1:8" ht="13.2" x14ac:dyDescent="0.25">
      <c r="A38" s="94" t="s">
        <v>200</v>
      </c>
      <c r="B38" s="94" t="s">
        <v>106</v>
      </c>
      <c r="C38" s="94" t="s">
        <v>456</v>
      </c>
      <c r="D38" s="211" t="s">
        <v>457</v>
      </c>
      <c r="E38" s="211"/>
      <c r="F38" s="94" t="s">
        <v>323</v>
      </c>
      <c r="G38" s="97">
        <v>788.68799999999999</v>
      </c>
      <c r="H38" s="97">
        <v>0</v>
      </c>
    </row>
    <row r="39" spans="1:8" x14ac:dyDescent="0.3">
      <c r="A39" s="134"/>
      <c r="B39" s="134"/>
      <c r="C39" s="134"/>
      <c r="D39" s="136" t="s">
        <v>817</v>
      </c>
      <c r="E39" s="207"/>
      <c r="F39" s="207"/>
      <c r="G39" s="137">
        <v>788.68799999999999</v>
      </c>
      <c r="H39" s="134"/>
    </row>
    <row r="40" spans="1:8" ht="13.2" x14ac:dyDescent="0.25">
      <c r="A40" s="94" t="s">
        <v>203</v>
      </c>
      <c r="B40" s="94" t="s">
        <v>106</v>
      </c>
      <c r="C40" s="94" t="s">
        <v>405</v>
      </c>
      <c r="D40" s="211" t="s">
        <v>406</v>
      </c>
      <c r="E40" s="211"/>
      <c r="F40" s="94" t="s">
        <v>323</v>
      </c>
      <c r="G40" s="97">
        <v>98.585999999999999</v>
      </c>
      <c r="H40" s="97">
        <v>0</v>
      </c>
    </row>
    <row r="41" spans="1:8" x14ac:dyDescent="0.3">
      <c r="A41" s="134"/>
      <c r="B41" s="134"/>
      <c r="C41" s="134"/>
      <c r="D41" s="136" t="s">
        <v>818</v>
      </c>
      <c r="E41" s="207" t="s">
        <v>819</v>
      </c>
      <c r="F41" s="207"/>
      <c r="G41" s="137">
        <v>98.585999999999999</v>
      </c>
      <c r="H41" s="134"/>
    </row>
    <row r="43" spans="1:8" x14ac:dyDescent="0.3">
      <c r="A43"/>
    </row>
    <row r="44" spans="1:8" ht="12.75" hidden="1" customHeight="1" x14ac:dyDescent="0.3">
      <c r="A44" s="8"/>
      <c r="B44" s="8"/>
      <c r="C44" s="8"/>
      <c r="D44" s="8"/>
      <c r="E44" s="8"/>
      <c r="F44" s="8"/>
      <c r="G44" s="8"/>
    </row>
  </sheetData>
  <mergeCells count="50">
    <mergeCell ref="E41:F41"/>
    <mergeCell ref="A44:G44"/>
    <mergeCell ref="D36:E36"/>
    <mergeCell ref="E37:F37"/>
    <mergeCell ref="D38:E38"/>
    <mergeCell ref="E39:F39"/>
    <mergeCell ref="D40:E40"/>
    <mergeCell ref="E31:F31"/>
    <mergeCell ref="D32:E32"/>
    <mergeCell ref="E33:F33"/>
    <mergeCell ref="D34:E34"/>
    <mergeCell ref="E35:F35"/>
    <mergeCell ref="E26:F26"/>
    <mergeCell ref="D27:E27"/>
    <mergeCell ref="E28:F28"/>
    <mergeCell ref="D29:E29"/>
    <mergeCell ref="E30:F30"/>
    <mergeCell ref="D21:E21"/>
    <mergeCell ref="E22:F22"/>
    <mergeCell ref="D23:E23"/>
    <mergeCell ref="E24:F24"/>
    <mergeCell ref="D25:E25"/>
    <mergeCell ref="D16:E16"/>
    <mergeCell ref="D17:E17"/>
    <mergeCell ref="E18:F18"/>
    <mergeCell ref="E19:F19"/>
    <mergeCell ref="E20:F20"/>
    <mergeCell ref="D11:E11"/>
    <mergeCell ref="D12:E12"/>
    <mergeCell ref="D13:E13"/>
    <mergeCell ref="D14:E14"/>
    <mergeCell ref="D15:E15"/>
    <mergeCell ref="A8:B9"/>
    <mergeCell ref="C8:D9"/>
    <mergeCell ref="E8:E9"/>
    <mergeCell ref="F8:H9"/>
    <mergeCell ref="D10:E10"/>
    <mergeCell ref="A4:B5"/>
    <mergeCell ref="C4:D5"/>
    <mergeCell ref="E4:E5"/>
    <mergeCell ref="F4:H5"/>
    <mergeCell ref="A6:B7"/>
    <mergeCell ref="C6:D7"/>
    <mergeCell ref="E6:E7"/>
    <mergeCell ref="F6:H7"/>
    <mergeCell ref="A1:H1"/>
    <mergeCell ref="A2:B3"/>
    <mergeCell ref="C2:D3"/>
    <mergeCell ref="E2:E3"/>
    <mergeCell ref="F2:H3"/>
  </mergeCells>
  <pageMargins left="0.39374999999999999" right="0.39374999999999999" top="0.59097222222222201" bottom="0.59097222222222201" header="0.511811023622047" footer="0.511811023622047"/>
  <pageSetup fitToHeight="0" orientation="landscape"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pageSetUpPr fitToPage="1"/>
  </sheetPr>
  <dimension ref="A1:I35"/>
  <sheetViews>
    <sheetView zoomScaleNormal="100" workbookViewId="0"/>
  </sheetViews>
  <sheetFormatPr defaultColWidth="12.109375" defaultRowHeight="14.4" x14ac:dyDescent="0.3"/>
  <cols>
    <col min="1" max="1" width="18" style="22" customWidth="1"/>
    <col min="2" max="2" width="12.88671875" style="22" customWidth="1"/>
    <col min="3" max="3" width="27.109375" style="22" customWidth="1"/>
    <col min="4" max="4" width="19.33203125" style="22" customWidth="1"/>
    <col min="5" max="5" width="14" style="22" customWidth="1"/>
    <col min="6" max="6" width="27.109375" style="22" customWidth="1"/>
    <col min="7" max="7" width="16.6640625" style="22" customWidth="1"/>
    <col min="8" max="8" width="12.88671875" style="22" customWidth="1"/>
    <col min="9" max="9" width="27.109375" style="22" customWidth="1"/>
  </cols>
  <sheetData>
    <row r="1" spans="1:9" ht="39.75" customHeight="1" x14ac:dyDescent="0.25">
      <c r="A1" s="172" t="s">
        <v>926</v>
      </c>
      <c r="B1" s="172"/>
      <c r="C1" s="172"/>
      <c r="D1" s="172"/>
      <c r="E1" s="172"/>
      <c r="F1" s="172"/>
      <c r="G1" s="172"/>
      <c r="H1" s="172"/>
      <c r="I1" s="172"/>
    </row>
    <row r="2" spans="1:9" ht="15" customHeight="1" x14ac:dyDescent="0.25">
      <c r="A2" s="13" t="s">
        <v>1</v>
      </c>
      <c r="B2" s="13"/>
      <c r="C2" s="12" t="str">
        <f>'Stavební rozpočet'!D2</f>
        <v>DEMOLICE PANELOVÉHO DOMU V HORNÍM PARKU</v>
      </c>
      <c r="D2" s="12"/>
      <c r="E2" s="11" t="s">
        <v>2</v>
      </c>
      <c r="F2" s="11" t="str">
        <f>'Stavební rozpočet'!J2</f>
        <v>MĚSTO ZNOJMO</v>
      </c>
      <c r="G2" s="11"/>
      <c r="H2" s="11" t="s">
        <v>3</v>
      </c>
      <c r="I2" s="10"/>
    </row>
    <row r="3" spans="1:9" ht="15" customHeight="1" x14ac:dyDescent="0.25">
      <c r="A3" s="13"/>
      <c r="B3" s="13"/>
      <c r="C3" s="12"/>
      <c r="D3" s="12"/>
      <c r="E3" s="11"/>
      <c r="F3" s="11"/>
      <c r="G3" s="11"/>
      <c r="H3" s="11"/>
      <c r="I3" s="10"/>
    </row>
    <row r="4" spans="1:9" ht="15" customHeight="1" x14ac:dyDescent="0.25">
      <c r="A4" s="9" t="s">
        <v>4</v>
      </c>
      <c r="B4" s="9"/>
      <c r="C4" s="8" t="str">
        <f>'Stavební rozpočet'!D4</f>
        <v>Postupná demolice panelového domu</v>
      </c>
      <c r="D4" s="8"/>
      <c r="E4" s="8" t="s">
        <v>5</v>
      </c>
      <c r="F4" s="8" t="str">
        <f>'Stavební rozpočet'!J4</f>
        <v>Ing.  Roman Zvěřina, Dolní Česká 358/25, 669 02 Znojmo</v>
      </c>
      <c r="G4" s="8"/>
      <c r="H4" s="8" t="s">
        <v>3</v>
      </c>
      <c r="I4" s="7" t="s">
        <v>6</v>
      </c>
    </row>
    <row r="5" spans="1:9" ht="15" customHeight="1" x14ac:dyDescent="0.25">
      <c r="A5" s="9"/>
      <c r="B5" s="9"/>
      <c r="C5" s="8"/>
      <c r="D5" s="8"/>
      <c r="E5" s="8"/>
      <c r="F5" s="8"/>
      <c r="G5" s="8"/>
      <c r="H5" s="8"/>
      <c r="I5" s="7"/>
    </row>
    <row r="6" spans="1:9" ht="15" customHeight="1" x14ac:dyDescent="0.25">
      <c r="A6" s="9" t="s">
        <v>7</v>
      </c>
      <c r="B6" s="9"/>
      <c r="C6" s="8" t="str">
        <f>'Stavební rozpočet'!D6</f>
        <v>k.ú.Znojmo-město parc.č.258/5</v>
      </c>
      <c r="D6" s="8"/>
      <c r="E6" s="8" t="s">
        <v>8</v>
      </c>
      <c r="F6" s="8" t="str">
        <f>'Stavební rozpočet'!J6</f>
        <v> </v>
      </c>
      <c r="G6" s="8"/>
      <c r="H6" s="8" t="s">
        <v>3</v>
      </c>
      <c r="I6" s="7"/>
    </row>
    <row r="7" spans="1:9" ht="15" customHeight="1" x14ac:dyDescent="0.25">
      <c r="A7" s="9"/>
      <c r="B7" s="9"/>
      <c r="C7" s="8"/>
      <c r="D7" s="8"/>
      <c r="E7" s="8"/>
      <c r="F7" s="8"/>
      <c r="G7" s="8"/>
      <c r="H7" s="8"/>
      <c r="I7" s="7"/>
    </row>
    <row r="8" spans="1:9" ht="15" customHeight="1" x14ac:dyDescent="0.25">
      <c r="A8" s="9" t="s">
        <v>9</v>
      </c>
      <c r="B8" s="9"/>
      <c r="C8" s="8" t="str">
        <f>'Stavební rozpočet'!H4</f>
        <v xml:space="preserve"> </v>
      </c>
      <c r="D8" s="8"/>
      <c r="E8" s="8" t="s">
        <v>10</v>
      </c>
      <c r="F8" s="8" t="str">
        <f>'Stavební rozpočet'!H6</f>
        <v xml:space="preserve"> </v>
      </c>
      <c r="G8" s="8"/>
      <c r="H8" s="6" t="s">
        <v>11</v>
      </c>
      <c r="I8" s="5">
        <v>25</v>
      </c>
    </row>
    <row r="9" spans="1:9" ht="13.2" x14ac:dyDescent="0.25">
      <c r="A9" s="9"/>
      <c r="B9" s="9"/>
      <c r="C9" s="8"/>
      <c r="D9" s="8"/>
      <c r="E9" s="8"/>
      <c r="F9" s="8"/>
      <c r="G9" s="8"/>
      <c r="H9" s="6"/>
      <c r="I9" s="5"/>
    </row>
    <row r="10" spans="1:9" ht="15" customHeight="1" x14ac:dyDescent="0.25">
      <c r="A10" s="4" t="s">
        <v>12</v>
      </c>
      <c r="B10" s="4"/>
      <c r="C10" s="3" t="str">
        <f>'Stavební rozpočet'!D8</f>
        <v>80331</v>
      </c>
      <c r="D10" s="3"/>
      <c r="E10" s="3" t="s">
        <v>13</v>
      </c>
      <c r="F10" s="3" t="str">
        <f>'Stavební rozpočet'!J8</f>
        <v>Bohuslav Hemala</v>
      </c>
      <c r="G10" s="3"/>
      <c r="H10" s="2" t="s">
        <v>14</v>
      </c>
      <c r="I10" s="1" t="str">
        <f>'Stavební rozpočet'!H8</f>
        <v>16.05.2025</v>
      </c>
    </row>
    <row r="11" spans="1:9" ht="13.2" x14ac:dyDescent="0.25">
      <c r="A11" s="4"/>
      <c r="B11" s="4"/>
      <c r="C11" s="3"/>
      <c r="D11" s="3"/>
      <c r="E11" s="3"/>
      <c r="F11" s="3"/>
      <c r="G11" s="3"/>
      <c r="H11" s="2"/>
      <c r="I11" s="1"/>
    </row>
    <row r="12" spans="1:9" ht="22.8" x14ac:dyDescent="0.25">
      <c r="A12" s="151" t="s">
        <v>31</v>
      </c>
      <c r="B12" s="151"/>
      <c r="C12" s="151"/>
      <c r="D12" s="151"/>
      <c r="E12" s="151"/>
      <c r="F12" s="151"/>
      <c r="G12" s="151"/>
      <c r="H12" s="151"/>
      <c r="I12" s="151"/>
    </row>
    <row r="13" spans="1:9" ht="26.25" customHeight="1" x14ac:dyDescent="0.25">
      <c r="A13" s="24" t="s">
        <v>32</v>
      </c>
      <c r="B13" s="152" t="s">
        <v>33</v>
      </c>
      <c r="C13" s="152"/>
      <c r="D13" s="25" t="s">
        <v>34</v>
      </c>
      <c r="E13" s="152" t="s">
        <v>35</v>
      </c>
      <c r="F13" s="152"/>
      <c r="G13" s="25" t="s">
        <v>915</v>
      </c>
      <c r="H13" s="152" t="s">
        <v>81</v>
      </c>
      <c r="I13" s="152"/>
    </row>
    <row r="14" spans="1:9" ht="15.6" x14ac:dyDescent="0.25">
      <c r="A14" s="26" t="s">
        <v>36</v>
      </c>
      <c r="B14" s="27" t="s">
        <v>37</v>
      </c>
      <c r="C14" s="28">
        <f>SUM('Stavební rozpočet (SO 01.3)'!AB12:AB430)</f>
        <v>0</v>
      </c>
      <c r="D14" s="153" t="s">
        <v>38</v>
      </c>
      <c r="E14" s="153"/>
      <c r="F14" s="28">
        <f>'VORN objektu (SO 01.3)'!I15</f>
        <v>0</v>
      </c>
      <c r="G14" s="153" t="s">
        <v>82</v>
      </c>
      <c r="H14" s="153"/>
      <c r="I14" s="28">
        <f>'VORN objektu (SO 01.3)'!I21</f>
        <v>0</v>
      </c>
    </row>
    <row r="15" spans="1:9" ht="15.6" x14ac:dyDescent="0.25">
      <c r="A15" s="29"/>
      <c r="B15" s="27" t="s">
        <v>39</v>
      </c>
      <c r="C15" s="28">
        <f>SUM('Stavební rozpočet (SO 01.3)'!AC12:AC430)</f>
        <v>0</v>
      </c>
      <c r="D15" s="153" t="s">
        <v>40</v>
      </c>
      <c r="E15" s="153"/>
      <c r="F15" s="28">
        <f>'VORN objektu (SO 01.3)'!I16</f>
        <v>0</v>
      </c>
      <c r="G15" s="153" t="s">
        <v>83</v>
      </c>
      <c r="H15" s="153"/>
      <c r="I15" s="28">
        <f>'VORN objektu (SO 01.3)'!I22</f>
        <v>0</v>
      </c>
    </row>
    <row r="16" spans="1:9" ht="15.6" x14ac:dyDescent="0.25">
      <c r="A16" s="26" t="s">
        <v>41</v>
      </c>
      <c r="B16" s="27" t="s">
        <v>37</v>
      </c>
      <c r="C16" s="28">
        <f>SUM('Stavební rozpočet (SO 01.3)'!AD12:AD430)</f>
        <v>0</v>
      </c>
      <c r="D16" s="153" t="s">
        <v>42</v>
      </c>
      <c r="E16" s="153"/>
      <c r="F16" s="28">
        <f>'VORN objektu (SO 01.3)'!I17</f>
        <v>0</v>
      </c>
      <c r="G16" s="153" t="s">
        <v>84</v>
      </c>
      <c r="H16" s="153"/>
      <c r="I16" s="28">
        <f>'VORN objektu (SO 01.3)'!I23</f>
        <v>0</v>
      </c>
    </row>
    <row r="17" spans="1:9" ht="15.6" x14ac:dyDescent="0.25">
      <c r="A17" s="29"/>
      <c r="B17" s="27" t="s">
        <v>39</v>
      </c>
      <c r="C17" s="28">
        <f>SUM('Stavební rozpočet (SO 01.3)'!AE12:AE430)</f>
        <v>0</v>
      </c>
      <c r="D17" s="153"/>
      <c r="E17" s="153"/>
      <c r="F17" s="30"/>
      <c r="G17" s="153" t="s">
        <v>85</v>
      </c>
      <c r="H17" s="153"/>
      <c r="I17" s="28">
        <f>'VORN objektu (SO 01.3)'!I24</f>
        <v>0</v>
      </c>
    </row>
    <row r="18" spans="1:9" ht="15.6" x14ac:dyDescent="0.25">
      <c r="A18" s="26" t="s">
        <v>43</v>
      </c>
      <c r="B18" s="27" t="s">
        <v>37</v>
      </c>
      <c r="C18" s="28">
        <f>SUM('Stavební rozpočet (SO 01.3)'!AF12:AF430)</f>
        <v>0</v>
      </c>
      <c r="D18" s="153"/>
      <c r="E18" s="153"/>
      <c r="F18" s="30"/>
      <c r="G18" s="153" t="s">
        <v>86</v>
      </c>
      <c r="H18" s="153"/>
      <c r="I18" s="28">
        <f>'VORN objektu (SO 01.3)'!I25</f>
        <v>0</v>
      </c>
    </row>
    <row r="19" spans="1:9" ht="15.6" x14ac:dyDescent="0.25">
      <c r="A19" s="29"/>
      <c r="B19" s="27" t="s">
        <v>39</v>
      </c>
      <c r="C19" s="28">
        <f>SUM('Stavební rozpočet (SO 01.3)'!AG12:AG430)</f>
        <v>0</v>
      </c>
      <c r="D19" s="153"/>
      <c r="E19" s="153"/>
      <c r="F19" s="30"/>
      <c r="G19" s="153" t="s">
        <v>87</v>
      </c>
      <c r="H19" s="153"/>
      <c r="I19" s="28">
        <f>'VORN objektu (SO 01.3)'!I26</f>
        <v>0</v>
      </c>
    </row>
    <row r="20" spans="1:9" ht="15.6" x14ac:dyDescent="0.25">
      <c r="A20" s="154" t="s">
        <v>44</v>
      </c>
      <c r="B20" s="154"/>
      <c r="C20" s="28">
        <f>SUM('Stavební rozpočet (SO 01.3)'!AH12:AH430)</f>
        <v>0</v>
      </c>
      <c r="D20" s="153"/>
      <c r="E20" s="153"/>
      <c r="F20" s="30"/>
      <c r="G20" s="153"/>
      <c r="H20" s="153"/>
      <c r="I20" s="30"/>
    </row>
    <row r="21" spans="1:9" ht="15.6" x14ac:dyDescent="0.25">
      <c r="A21" s="155" t="s">
        <v>45</v>
      </c>
      <c r="B21" s="155"/>
      <c r="C21" s="31">
        <f>SUM('Stavební rozpočet (SO 01.3)'!Z12:Z430)</f>
        <v>0</v>
      </c>
      <c r="D21" s="156"/>
      <c r="E21" s="156"/>
      <c r="F21" s="32"/>
      <c r="G21" s="156"/>
      <c r="H21" s="156"/>
      <c r="I21" s="32"/>
    </row>
    <row r="22" spans="1:9" ht="16.5" customHeight="1" x14ac:dyDescent="0.25">
      <c r="A22" s="157" t="s">
        <v>46</v>
      </c>
      <c r="B22" s="157"/>
      <c r="C22" s="33">
        <f>ROUND(SUM(C14:C21),1)</f>
        <v>0</v>
      </c>
      <c r="D22" s="158" t="s">
        <v>47</v>
      </c>
      <c r="E22" s="158"/>
      <c r="F22" s="33">
        <f>SUM(F14:F21)</f>
        <v>0</v>
      </c>
      <c r="G22" s="158" t="s">
        <v>916</v>
      </c>
      <c r="H22" s="158"/>
      <c r="I22" s="33">
        <f>SUM(I14:I21)</f>
        <v>0</v>
      </c>
    </row>
    <row r="23" spans="1:9" ht="15.6" x14ac:dyDescent="0.3">
      <c r="G23" s="154" t="s">
        <v>917</v>
      </c>
      <c r="H23" s="154"/>
      <c r="I23" s="28">
        <f>'VORN objektu (SO 01.3)'!I36</f>
        <v>0</v>
      </c>
    </row>
    <row r="25" spans="1:9" ht="15" customHeight="1" x14ac:dyDescent="0.3">
      <c r="A25" s="213" t="s">
        <v>49</v>
      </c>
      <c r="B25" s="213"/>
      <c r="C25" s="146">
        <f>ROUND(SUM('Stavební rozpočet (SO 01.3)'!AJ12:AJ430),1)</f>
        <v>0</v>
      </c>
      <c r="D25" s="147"/>
      <c r="E25" s="147"/>
      <c r="F25" s="147"/>
      <c r="G25" s="147"/>
      <c r="H25" s="147"/>
      <c r="I25" s="147"/>
    </row>
    <row r="26" spans="1:9" ht="15" customHeight="1" x14ac:dyDescent="0.25">
      <c r="A26" s="214" t="s">
        <v>50</v>
      </c>
      <c r="B26" s="214"/>
      <c r="C26" s="148">
        <f>ROUND(SUM('Stavební rozpočet (SO 01.3)'!AK12:AK430),1)</f>
        <v>0</v>
      </c>
      <c r="D26" s="215" t="s">
        <v>51</v>
      </c>
      <c r="E26" s="215"/>
      <c r="F26" s="146">
        <f>ROUND(C26*(12/100),2)</f>
        <v>0</v>
      </c>
      <c r="G26" s="215" t="s">
        <v>52</v>
      </c>
      <c r="H26" s="215"/>
      <c r="I26" s="146">
        <f>ROUND(SUM(C25:C27),1)</f>
        <v>0</v>
      </c>
    </row>
    <row r="27" spans="1:9" ht="15" customHeight="1" x14ac:dyDescent="0.25">
      <c r="A27" s="214" t="s">
        <v>53</v>
      </c>
      <c r="B27" s="214"/>
      <c r="C27" s="148">
        <f>ROUND(SUM('Stavební rozpočet (SO 01.3)'!AL12:AL430)+(F22+I22+F23+I23+I24),1)</f>
        <v>0</v>
      </c>
      <c r="D27" s="216" t="s">
        <v>54</v>
      </c>
      <c r="E27" s="216"/>
      <c r="F27" s="148">
        <f>ROUND(C27*(21/100),2)</f>
        <v>0</v>
      </c>
      <c r="G27" s="216" t="s">
        <v>55</v>
      </c>
      <c r="H27" s="216"/>
      <c r="I27" s="148">
        <f>ROUND(SUM(F26:F27)+I26,1)</f>
        <v>0</v>
      </c>
    </row>
    <row r="29" spans="1:9" ht="15" x14ac:dyDescent="0.25">
      <c r="A29" s="164" t="s">
        <v>56</v>
      </c>
      <c r="B29" s="164"/>
      <c r="C29" s="164"/>
      <c r="D29" s="165" t="s">
        <v>57</v>
      </c>
      <c r="E29" s="165"/>
      <c r="F29" s="165"/>
      <c r="G29" s="165" t="s">
        <v>58</v>
      </c>
      <c r="H29" s="165"/>
      <c r="I29" s="165"/>
    </row>
    <row r="30" spans="1:9" ht="15" x14ac:dyDescent="0.25">
      <c r="A30" s="166"/>
      <c r="B30" s="166"/>
      <c r="C30" s="166"/>
      <c r="D30" s="167"/>
      <c r="E30" s="167"/>
      <c r="F30" s="167"/>
      <c r="G30" s="167"/>
      <c r="H30" s="167"/>
      <c r="I30" s="167"/>
    </row>
    <row r="31" spans="1:9" ht="15" x14ac:dyDescent="0.25">
      <c r="A31" s="166"/>
      <c r="B31" s="166"/>
      <c r="C31" s="166"/>
      <c r="D31" s="167"/>
      <c r="E31" s="167"/>
      <c r="F31" s="167"/>
      <c r="G31" s="167"/>
      <c r="H31" s="167"/>
      <c r="I31" s="167"/>
    </row>
    <row r="32" spans="1:9" ht="15" x14ac:dyDescent="0.25">
      <c r="A32" s="166"/>
      <c r="B32" s="166"/>
      <c r="C32" s="166"/>
      <c r="D32" s="167"/>
      <c r="E32" s="167"/>
      <c r="F32" s="167"/>
      <c r="G32" s="167"/>
      <c r="H32" s="167"/>
      <c r="I32" s="167"/>
    </row>
    <row r="33" spans="1:9" ht="15" x14ac:dyDescent="0.25">
      <c r="A33" s="168" t="s">
        <v>59</v>
      </c>
      <c r="B33" s="168"/>
      <c r="C33" s="168"/>
      <c r="D33" s="169" t="s">
        <v>59</v>
      </c>
      <c r="E33" s="169"/>
      <c r="F33" s="169"/>
      <c r="G33" s="169" t="s">
        <v>59</v>
      </c>
      <c r="H33" s="169"/>
      <c r="I33" s="169"/>
    </row>
    <row r="34" spans="1:9" x14ac:dyDescent="0.3">
      <c r="A34"/>
    </row>
    <row r="35" spans="1:9" ht="12.75" hidden="1" customHeight="1" x14ac:dyDescent="0.25">
      <c r="A35" s="8"/>
      <c r="B35" s="8"/>
      <c r="C35" s="8"/>
      <c r="D35" s="8"/>
      <c r="E35" s="8"/>
      <c r="F35" s="8"/>
      <c r="G35" s="8"/>
      <c r="H35" s="8"/>
      <c r="I35" s="8"/>
    </row>
  </sheetData>
  <mergeCells count="80">
    <mergeCell ref="A35:I35"/>
    <mergeCell ref="A32:C32"/>
    <mergeCell ref="D32:F32"/>
    <mergeCell ref="G32:I32"/>
    <mergeCell ref="A33:C33"/>
    <mergeCell ref="D33:F33"/>
    <mergeCell ref="G33:I33"/>
    <mergeCell ref="A30:C30"/>
    <mergeCell ref="D30:F30"/>
    <mergeCell ref="G30:I30"/>
    <mergeCell ref="A31:C31"/>
    <mergeCell ref="D31:F31"/>
    <mergeCell ref="G31:I31"/>
    <mergeCell ref="A27:B27"/>
    <mergeCell ref="D27:E27"/>
    <mergeCell ref="G27:H27"/>
    <mergeCell ref="A29:C29"/>
    <mergeCell ref="D29:F29"/>
    <mergeCell ref="G29:I29"/>
    <mergeCell ref="G23:H23"/>
    <mergeCell ref="A25:B25"/>
    <mergeCell ref="A26:B26"/>
    <mergeCell ref="D26:E26"/>
    <mergeCell ref="G26:H26"/>
    <mergeCell ref="A21:B21"/>
    <mergeCell ref="D21:E21"/>
    <mergeCell ref="G21:H21"/>
    <mergeCell ref="A22:B22"/>
    <mergeCell ref="D22:E22"/>
    <mergeCell ref="G22:H22"/>
    <mergeCell ref="D18:E18"/>
    <mergeCell ref="G18:H18"/>
    <mergeCell ref="D19:E19"/>
    <mergeCell ref="G19:H19"/>
    <mergeCell ref="A20:B20"/>
    <mergeCell ref="D20:E20"/>
    <mergeCell ref="G20:H20"/>
    <mergeCell ref="D15:E15"/>
    <mergeCell ref="G15:H15"/>
    <mergeCell ref="D16:E16"/>
    <mergeCell ref="G16:H16"/>
    <mergeCell ref="D17:E17"/>
    <mergeCell ref="G17:H17"/>
    <mergeCell ref="A12:I12"/>
    <mergeCell ref="B13:C13"/>
    <mergeCell ref="E13:F13"/>
    <mergeCell ref="H13:I13"/>
    <mergeCell ref="D14:E14"/>
    <mergeCell ref="G14:H14"/>
    <mergeCell ref="I8:I9"/>
    <mergeCell ref="A10:B11"/>
    <mergeCell ref="C10:D11"/>
    <mergeCell ref="E10:E11"/>
    <mergeCell ref="F10:G11"/>
    <mergeCell ref="H10:H11"/>
    <mergeCell ref="I10:I11"/>
    <mergeCell ref="A8:B9"/>
    <mergeCell ref="C8:D9"/>
    <mergeCell ref="E8:E9"/>
    <mergeCell ref="F8:G9"/>
    <mergeCell ref="H8:H9"/>
    <mergeCell ref="I4:I5"/>
    <mergeCell ref="A6:B7"/>
    <mergeCell ref="C6:D7"/>
    <mergeCell ref="E6:E7"/>
    <mergeCell ref="F6:G7"/>
    <mergeCell ref="H6:H7"/>
    <mergeCell ref="I6:I7"/>
    <mergeCell ref="A4:B5"/>
    <mergeCell ref="C4:D5"/>
    <mergeCell ref="E4:E5"/>
    <mergeCell ref="F4:G5"/>
    <mergeCell ref="H4:H5"/>
    <mergeCell ref="A1:I1"/>
    <mergeCell ref="A2:B3"/>
    <mergeCell ref="C2:D3"/>
    <mergeCell ref="E2:E3"/>
    <mergeCell ref="F2:G3"/>
    <mergeCell ref="H2:H3"/>
    <mergeCell ref="I2:I3"/>
  </mergeCells>
  <pageMargins left="0.39374999999999999" right="0.39374999999999999" top="0.59097222222222201" bottom="0.59097222222222201" header="0.511811023622047" footer="0.511811023622047"/>
  <pageSetup orientation="landscape"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I36"/>
  <sheetViews>
    <sheetView zoomScaleNormal="100" workbookViewId="0">
      <selection activeCell="A36" sqref="A36"/>
    </sheetView>
  </sheetViews>
  <sheetFormatPr defaultColWidth="12.109375" defaultRowHeight="14.4" x14ac:dyDescent="0.3"/>
  <cols>
    <col min="1" max="1" width="9.109375" style="22" customWidth="1"/>
    <col min="2" max="2" width="12.88671875" style="22" customWidth="1"/>
    <col min="3" max="3" width="22.88671875" style="22" customWidth="1"/>
    <col min="4" max="4" width="10" style="22" customWidth="1"/>
    <col min="5" max="5" width="14" style="22" customWidth="1"/>
    <col min="6" max="6" width="22.88671875" style="22" customWidth="1"/>
    <col min="7" max="7" width="9.109375" style="22" customWidth="1"/>
    <col min="8" max="8" width="17.109375" style="22" customWidth="1"/>
    <col min="9" max="9" width="22.88671875" style="22" customWidth="1"/>
  </cols>
  <sheetData>
    <row r="1" spans="1:9" ht="54.75" customHeight="1" x14ac:dyDescent="0.25">
      <c r="A1" s="172" t="s">
        <v>927</v>
      </c>
      <c r="B1" s="172"/>
      <c r="C1" s="172"/>
      <c r="D1" s="172"/>
      <c r="E1" s="172"/>
      <c r="F1" s="172"/>
      <c r="G1" s="172"/>
      <c r="H1" s="172"/>
      <c r="I1" s="172"/>
    </row>
    <row r="2" spans="1:9" ht="15" customHeight="1" x14ac:dyDescent="0.25">
      <c r="A2" s="13" t="s">
        <v>1</v>
      </c>
      <c r="B2" s="13"/>
      <c r="C2" s="12" t="str">
        <f>'Stavební rozpočet'!D2</f>
        <v>DEMOLICE PANELOVÉHO DOMU V HORNÍM PARKU</v>
      </c>
      <c r="D2" s="12"/>
      <c r="E2" s="11" t="s">
        <v>2</v>
      </c>
      <c r="F2" s="11" t="str">
        <f>'Stavební rozpočet'!J2</f>
        <v>MĚSTO ZNOJMO</v>
      </c>
      <c r="G2" s="11"/>
      <c r="H2" s="11" t="s">
        <v>3</v>
      </c>
      <c r="I2" s="10"/>
    </row>
    <row r="3" spans="1:9" ht="15" customHeight="1" x14ac:dyDescent="0.25">
      <c r="A3" s="13"/>
      <c r="B3" s="13"/>
      <c r="C3" s="12"/>
      <c r="D3" s="12"/>
      <c r="E3" s="11"/>
      <c r="F3" s="11"/>
      <c r="G3" s="11"/>
      <c r="H3" s="11"/>
      <c r="I3" s="10"/>
    </row>
    <row r="4" spans="1:9" ht="15" customHeight="1" x14ac:dyDescent="0.25">
      <c r="A4" s="9" t="s">
        <v>4</v>
      </c>
      <c r="B4" s="9"/>
      <c r="C4" s="8" t="str">
        <f>'Stavební rozpočet'!D4</f>
        <v>Postupná demolice panelového domu</v>
      </c>
      <c r="D4" s="8"/>
      <c r="E4" s="8" t="s">
        <v>5</v>
      </c>
      <c r="F4" s="8" t="str">
        <f>'Stavební rozpočet'!J4</f>
        <v>Ing.  Roman Zvěřina, Dolní Česká 358/25, 669 02 Znojmo</v>
      </c>
      <c r="G4" s="8"/>
      <c r="H4" s="8" t="s">
        <v>3</v>
      </c>
      <c r="I4" s="7" t="s">
        <v>6</v>
      </c>
    </row>
    <row r="5" spans="1:9" ht="15" customHeight="1" x14ac:dyDescent="0.25">
      <c r="A5" s="9"/>
      <c r="B5" s="9"/>
      <c r="C5" s="8"/>
      <c r="D5" s="8"/>
      <c r="E5" s="8"/>
      <c r="F5" s="8"/>
      <c r="G5" s="8"/>
      <c r="H5" s="8"/>
      <c r="I5" s="7"/>
    </row>
    <row r="6" spans="1:9" ht="15" customHeight="1" x14ac:dyDescent="0.25">
      <c r="A6" s="9" t="s">
        <v>7</v>
      </c>
      <c r="B6" s="9"/>
      <c r="C6" s="8" t="str">
        <f>'Stavební rozpočet'!D6</f>
        <v>k.ú.Znojmo-město parc.č.258/5</v>
      </c>
      <c r="D6" s="8"/>
      <c r="E6" s="8" t="s">
        <v>8</v>
      </c>
      <c r="F6" s="8" t="str">
        <f>'Stavební rozpočet'!J6</f>
        <v> </v>
      </c>
      <c r="G6" s="8"/>
      <c r="H6" s="8" t="s">
        <v>3</v>
      </c>
      <c r="I6" s="7"/>
    </row>
    <row r="7" spans="1:9" ht="15" customHeight="1" x14ac:dyDescent="0.25">
      <c r="A7" s="9"/>
      <c r="B7" s="9"/>
      <c r="C7" s="8"/>
      <c r="D7" s="8"/>
      <c r="E7" s="8"/>
      <c r="F7" s="8"/>
      <c r="G7" s="8"/>
      <c r="H7" s="8"/>
      <c r="I7" s="7"/>
    </row>
    <row r="8" spans="1:9" ht="15" customHeight="1" x14ac:dyDescent="0.25">
      <c r="A8" s="9" t="s">
        <v>9</v>
      </c>
      <c r="B8" s="9"/>
      <c r="C8" s="8" t="str">
        <f>'Stavební rozpočet'!H4</f>
        <v xml:space="preserve"> </v>
      </c>
      <c r="D8" s="8"/>
      <c r="E8" s="8" t="s">
        <v>10</v>
      </c>
      <c r="F8" s="8" t="str">
        <f>'Stavební rozpočet'!H6</f>
        <v xml:space="preserve"> </v>
      </c>
      <c r="G8" s="8"/>
      <c r="H8" s="6" t="s">
        <v>11</v>
      </c>
      <c r="I8" s="5">
        <v>25</v>
      </c>
    </row>
    <row r="9" spans="1:9" ht="13.2" x14ac:dyDescent="0.25">
      <c r="A9" s="9"/>
      <c r="B9" s="9"/>
      <c r="C9" s="8"/>
      <c r="D9" s="8"/>
      <c r="E9" s="8"/>
      <c r="F9" s="8"/>
      <c r="G9" s="8"/>
      <c r="H9" s="6"/>
      <c r="I9" s="5"/>
    </row>
    <row r="10" spans="1:9" ht="15" customHeight="1" x14ac:dyDescent="0.25">
      <c r="A10" s="4" t="s">
        <v>12</v>
      </c>
      <c r="B10" s="4"/>
      <c r="C10" s="3" t="str">
        <f>'Stavební rozpočet'!D8</f>
        <v>80331</v>
      </c>
      <c r="D10" s="3"/>
      <c r="E10" s="3" t="s">
        <v>13</v>
      </c>
      <c r="F10" s="3" t="str">
        <f>'Stavební rozpočet'!J8</f>
        <v>Bohuslav Hemala</v>
      </c>
      <c r="G10" s="3"/>
      <c r="H10" s="2" t="s">
        <v>14</v>
      </c>
      <c r="I10" s="1" t="str">
        <f>'Stavební rozpočet'!H8</f>
        <v>16.05.2025</v>
      </c>
    </row>
    <row r="11" spans="1:9" ht="13.2" x14ac:dyDescent="0.25">
      <c r="A11" s="4"/>
      <c r="B11" s="4"/>
      <c r="C11" s="3"/>
      <c r="D11" s="3"/>
      <c r="E11" s="3"/>
      <c r="F11" s="3"/>
      <c r="G11" s="3"/>
      <c r="H11" s="2"/>
      <c r="I11" s="1"/>
    </row>
    <row r="13" spans="1:9" ht="15.6" x14ac:dyDescent="0.3">
      <c r="A13" s="173" t="s">
        <v>75</v>
      </c>
      <c r="B13" s="173"/>
      <c r="C13" s="173"/>
      <c r="D13" s="173"/>
      <c r="E13" s="173"/>
    </row>
    <row r="14" spans="1:9" ht="13.2" x14ac:dyDescent="0.25">
      <c r="A14" s="174" t="s">
        <v>76</v>
      </c>
      <c r="B14" s="174"/>
      <c r="C14" s="174"/>
      <c r="D14" s="174"/>
      <c r="E14" s="174"/>
      <c r="F14" s="39" t="s">
        <v>77</v>
      </c>
      <c r="G14" s="39" t="s">
        <v>78</v>
      </c>
      <c r="H14" s="39" t="s">
        <v>79</v>
      </c>
      <c r="I14" s="39" t="s">
        <v>77</v>
      </c>
    </row>
    <row r="15" spans="1:9" ht="13.2" x14ac:dyDescent="0.25">
      <c r="A15" s="175" t="s">
        <v>38</v>
      </c>
      <c r="B15" s="175"/>
      <c r="C15" s="175"/>
      <c r="D15" s="175"/>
      <c r="E15" s="175"/>
      <c r="F15" s="40">
        <v>0</v>
      </c>
      <c r="G15" s="41"/>
      <c r="H15" s="41"/>
      <c r="I15" s="40">
        <f>F15</f>
        <v>0</v>
      </c>
    </row>
    <row r="16" spans="1:9" ht="13.2" x14ac:dyDescent="0.25">
      <c r="A16" s="175" t="s">
        <v>40</v>
      </c>
      <c r="B16" s="175"/>
      <c r="C16" s="175"/>
      <c r="D16" s="175"/>
      <c r="E16" s="175"/>
      <c r="F16" s="40">
        <v>0</v>
      </c>
      <c r="G16" s="41"/>
      <c r="H16" s="41"/>
      <c r="I16" s="40">
        <f>F16</f>
        <v>0</v>
      </c>
    </row>
    <row r="17" spans="1:9" ht="13.2" x14ac:dyDescent="0.25">
      <c r="A17" s="176" t="s">
        <v>42</v>
      </c>
      <c r="B17" s="176"/>
      <c r="C17" s="176"/>
      <c r="D17" s="176"/>
      <c r="E17" s="176"/>
      <c r="F17" s="42">
        <v>0</v>
      </c>
      <c r="G17" s="17"/>
      <c r="H17" s="17"/>
      <c r="I17" s="42">
        <f>F17</f>
        <v>0</v>
      </c>
    </row>
    <row r="18" spans="1:9" ht="13.2" x14ac:dyDescent="0.25">
      <c r="A18" s="177" t="s">
        <v>80</v>
      </c>
      <c r="B18" s="177"/>
      <c r="C18" s="177"/>
      <c r="D18" s="177"/>
      <c r="E18" s="177"/>
      <c r="F18" s="43"/>
      <c r="G18" s="44"/>
      <c r="H18" s="44"/>
      <c r="I18" s="45">
        <f>SUM(I15:I17)</f>
        <v>0</v>
      </c>
    </row>
    <row r="20" spans="1:9" ht="13.2" x14ac:dyDescent="0.25">
      <c r="A20" s="174" t="s">
        <v>81</v>
      </c>
      <c r="B20" s="174"/>
      <c r="C20" s="174"/>
      <c r="D20" s="174"/>
      <c r="E20" s="174"/>
      <c r="F20" s="39" t="s">
        <v>77</v>
      </c>
      <c r="G20" s="39" t="s">
        <v>78</v>
      </c>
      <c r="H20" s="39" t="s">
        <v>79</v>
      </c>
      <c r="I20" s="39" t="s">
        <v>77</v>
      </c>
    </row>
    <row r="21" spans="1:9" ht="13.2" x14ac:dyDescent="0.25">
      <c r="A21" s="175" t="s">
        <v>82</v>
      </c>
      <c r="B21" s="175"/>
      <c r="C21" s="175"/>
      <c r="D21" s="175"/>
      <c r="E21" s="175"/>
      <c r="F21" s="40">
        <v>0</v>
      </c>
      <c r="G21" s="41"/>
      <c r="H21" s="41"/>
      <c r="I21" s="40">
        <f t="shared" ref="I21:I26" si="0">F21</f>
        <v>0</v>
      </c>
    </row>
    <row r="22" spans="1:9" ht="13.2" x14ac:dyDescent="0.25">
      <c r="A22" s="175" t="s">
        <v>83</v>
      </c>
      <c r="B22" s="175"/>
      <c r="C22" s="175"/>
      <c r="D22" s="175"/>
      <c r="E22" s="175"/>
      <c r="F22" s="40">
        <v>0</v>
      </c>
      <c r="G22" s="41"/>
      <c r="H22" s="41"/>
      <c r="I22" s="40">
        <f t="shared" si="0"/>
        <v>0</v>
      </c>
    </row>
    <row r="23" spans="1:9" ht="13.2" x14ac:dyDescent="0.25">
      <c r="A23" s="175" t="s">
        <v>84</v>
      </c>
      <c r="B23" s="175"/>
      <c r="C23" s="175"/>
      <c r="D23" s="175"/>
      <c r="E23" s="175"/>
      <c r="F23" s="40">
        <v>0</v>
      </c>
      <c r="G23" s="41"/>
      <c r="H23" s="41"/>
      <c r="I23" s="40">
        <f t="shared" si="0"/>
        <v>0</v>
      </c>
    </row>
    <row r="24" spans="1:9" ht="13.2" x14ac:dyDescent="0.25">
      <c r="A24" s="175" t="s">
        <v>85</v>
      </c>
      <c r="B24" s="175"/>
      <c r="C24" s="175"/>
      <c r="D24" s="175"/>
      <c r="E24" s="175"/>
      <c r="F24" s="40">
        <v>0</v>
      </c>
      <c r="G24" s="41"/>
      <c r="H24" s="41"/>
      <c r="I24" s="40">
        <f t="shared" si="0"/>
        <v>0</v>
      </c>
    </row>
    <row r="25" spans="1:9" ht="13.2" x14ac:dyDescent="0.25">
      <c r="A25" s="175" t="s">
        <v>86</v>
      </c>
      <c r="B25" s="175"/>
      <c r="C25" s="175"/>
      <c r="D25" s="175"/>
      <c r="E25" s="175"/>
      <c r="F25" s="40">
        <v>0</v>
      </c>
      <c r="G25" s="41"/>
      <c r="H25" s="41"/>
      <c r="I25" s="40">
        <f t="shared" si="0"/>
        <v>0</v>
      </c>
    </row>
    <row r="26" spans="1:9" ht="13.2" x14ac:dyDescent="0.25">
      <c r="A26" s="176" t="s">
        <v>87</v>
      </c>
      <c r="B26" s="176"/>
      <c r="C26" s="176"/>
      <c r="D26" s="176"/>
      <c r="E26" s="176"/>
      <c r="F26" s="42">
        <v>0</v>
      </c>
      <c r="G26" s="17"/>
      <c r="H26" s="17"/>
      <c r="I26" s="42">
        <f t="shared" si="0"/>
        <v>0</v>
      </c>
    </row>
    <row r="27" spans="1:9" ht="13.2" x14ac:dyDescent="0.25">
      <c r="A27" s="177" t="s">
        <v>88</v>
      </c>
      <c r="B27" s="177"/>
      <c r="C27" s="177"/>
      <c r="D27" s="177"/>
      <c r="E27" s="177"/>
      <c r="F27" s="43"/>
      <c r="G27" s="44"/>
      <c r="H27" s="44"/>
      <c r="I27" s="45">
        <f>SUM(I21:I26)</f>
        <v>0</v>
      </c>
    </row>
    <row r="29" spans="1:9" ht="15.6" x14ac:dyDescent="0.25">
      <c r="A29" s="178" t="s">
        <v>89</v>
      </c>
      <c r="B29" s="178"/>
      <c r="C29" s="178"/>
      <c r="D29" s="178"/>
      <c r="E29" s="178"/>
      <c r="F29" s="179">
        <f>I18+I27</f>
        <v>0</v>
      </c>
      <c r="G29" s="179"/>
      <c r="H29" s="179"/>
      <c r="I29" s="179"/>
    </row>
    <row r="33" spans="1:9" ht="15.6" x14ac:dyDescent="0.3">
      <c r="A33" s="173" t="s">
        <v>90</v>
      </c>
      <c r="B33" s="173"/>
      <c r="C33" s="173"/>
      <c r="D33" s="173"/>
      <c r="E33" s="173"/>
    </row>
    <row r="34" spans="1:9" ht="13.2" x14ac:dyDescent="0.25">
      <c r="A34" s="174" t="s">
        <v>91</v>
      </c>
      <c r="B34" s="174"/>
      <c r="C34" s="174"/>
      <c r="D34" s="174"/>
      <c r="E34" s="174"/>
      <c r="F34" s="39" t="s">
        <v>77</v>
      </c>
      <c r="G34" s="39" t="s">
        <v>78</v>
      </c>
      <c r="H34" s="39" t="s">
        <v>79</v>
      </c>
      <c r="I34" s="39" t="s">
        <v>77</v>
      </c>
    </row>
    <row r="35" spans="1:9" ht="13.2" x14ac:dyDescent="0.25">
      <c r="A35" s="176"/>
      <c r="B35" s="176"/>
      <c r="C35" s="176"/>
      <c r="D35" s="176"/>
      <c r="E35" s="176"/>
      <c r="F35" s="42">
        <v>0</v>
      </c>
      <c r="G35" s="17"/>
      <c r="H35" s="17"/>
      <c r="I35" s="42">
        <f>F35</f>
        <v>0</v>
      </c>
    </row>
    <row r="36" spans="1:9" ht="13.2" x14ac:dyDescent="0.25">
      <c r="A36" s="177" t="s">
        <v>92</v>
      </c>
      <c r="B36" s="177"/>
      <c r="C36" s="177"/>
      <c r="D36" s="177"/>
      <c r="E36" s="177"/>
      <c r="F36" s="43"/>
      <c r="G36" s="44"/>
      <c r="H36" s="44"/>
      <c r="I36" s="45">
        <f>SUM(I35)</f>
        <v>0</v>
      </c>
    </row>
  </sheetData>
  <mergeCells count="51">
    <mergeCell ref="F29:I29"/>
    <mergeCell ref="A33:E33"/>
    <mergeCell ref="A34:E34"/>
    <mergeCell ref="A35:E35"/>
    <mergeCell ref="A36:E36"/>
    <mergeCell ref="A24:E24"/>
    <mergeCell ref="A25:E25"/>
    <mergeCell ref="A26:E26"/>
    <mergeCell ref="A27:E27"/>
    <mergeCell ref="A29:E29"/>
    <mergeCell ref="A18:E18"/>
    <mergeCell ref="A20:E20"/>
    <mergeCell ref="A21:E21"/>
    <mergeCell ref="A22:E22"/>
    <mergeCell ref="A23:E23"/>
    <mergeCell ref="A13:E13"/>
    <mergeCell ref="A14:E14"/>
    <mergeCell ref="A15:E15"/>
    <mergeCell ref="A16:E16"/>
    <mergeCell ref="A17:E17"/>
    <mergeCell ref="I8:I9"/>
    <mergeCell ref="A10:B11"/>
    <mergeCell ref="C10:D11"/>
    <mergeCell ref="E10:E11"/>
    <mergeCell ref="F10:G11"/>
    <mergeCell ref="H10:H11"/>
    <mergeCell ref="I10:I11"/>
    <mergeCell ref="A8:B9"/>
    <mergeCell ref="C8:D9"/>
    <mergeCell ref="E8:E9"/>
    <mergeCell ref="F8:G9"/>
    <mergeCell ref="H8:H9"/>
    <mergeCell ref="I4:I5"/>
    <mergeCell ref="A6:B7"/>
    <mergeCell ref="C6:D7"/>
    <mergeCell ref="E6:E7"/>
    <mergeCell ref="F6:G7"/>
    <mergeCell ref="H6:H7"/>
    <mergeCell ref="I6:I7"/>
    <mergeCell ref="A4:B5"/>
    <mergeCell ref="C4:D5"/>
    <mergeCell ref="E4:E5"/>
    <mergeCell ref="F4:G5"/>
    <mergeCell ref="H4:H5"/>
    <mergeCell ref="A1:I1"/>
    <mergeCell ref="A2:B3"/>
    <mergeCell ref="C2:D3"/>
    <mergeCell ref="E2:E3"/>
    <mergeCell ref="F2:G3"/>
    <mergeCell ref="H2:H3"/>
    <mergeCell ref="I2:I3"/>
  </mergeCells>
  <pageMargins left="0.39374999999999999" right="0.39374999999999999" top="0.59097222222222201" bottom="0.59097222222222201" header="0.511811023622047" footer="0.511811023622047"/>
  <pageSetup fitToHeight="0" orientation="landscape"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pageSetUpPr fitToPage="1"/>
  </sheetPr>
  <dimension ref="A1:BZ49"/>
  <sheetViews>
    <sheetView zoomScaleNormal="100" workbookViewId="0">
      <pane ySplit="11" topLeftCell="A12" activePane="bottomLeft" state="frozen"/>
      <selection pane="bottomLeft"/>
    </sheetView>
  </sheetViews>
  <sheetFormatPr defaultColWidth="12.109375" defaultRowHeight="14.4" x14ac:dyDescent="0.3"/>
  <cols>
    <col min="1" max="1" width="4" style="22" customWidth="1"/>
    <col min="2" max="2" width="7.6640625" style="22" customWidth="1"/>
    <col min="3" max="3" width="14" style="22" customWidth="1"/>
    <col min="4" max="4" width="42.88671875" style="65" customWidth="1"/>
    <col min="5" max="5" width="8.77734375" style="22" customWidth="1"/>
    <col min="6" max="6" width="4.33203125" style="22" customWidth="1"/>
    <col min="7" max="7" width="11" style="66" customWidth="1"/>
    <col min="8" max="8" width="10.21875" style="22" customWidth="1"/>
    <col min="9" max="9" width="11.109375" style="22" customWidth="1"/>
    <col min="10" max="10" width="12.109375" style="22"/>
    <col min="11" max="11" width="13.44140625" style="22" customWidth="1"/>
    <col min="12" max="13" width="15.6640625" style="22" customWidth="1"/>
    <col min="14" max="14" width="7.88671875" style="22" customWidth="1"/>
    <col min="15" max="15" width="8.33203125" style="22" customWidth="1"/>
    <col min="16" max="16" width="12" style="22" customWidth="1"/>
    <col min="25" max="75" width="12.109375" style="22" hidden="1"/>
    <col min="76" max="76" width="78.5546875" style="22" hidden="1" customWidth="1"/>
    <col min="77" max="78" width="12.109375" style="22" hidden="1"/>
  </cols>
  <sheetData>
    <row r="1" spans="1:76" ht="39.75" customHeight="1" x14ac:dyDescent="0.3">
      <c r="A1" s="205" t="s">
        <v>928</v>
      </c>
      <c r="B1" s="205"/>
      <c r="C1" s="205"/>
      <c r="D1" s="205"/>
      <c r="E1" s="205"/>
      <c r="F1" s="205"/>
      <c r="G1" s="205"/>
      <c r="H1" s="205"/>
      <c r="I1" s="205"/>
      <c r="J1" s="205"/>
      <c r="K1" s="205"/>
      <c r="L1" s="205"/>
      <c r="M1" s="205"/>
      <c r="N1" s="205"/>
      <c r="O1" s="205"/>
      <c r="P1" s="205"/>
      <c r="AS1" s="68">
        <f>SUM(AJ1:AJ2)</f>
        <v>0</v>
      </c>
      <c r="AT1" s="68">
        <f>SUM(AK1:AK2)</f>
        <v>0</v>
      </c>
      <c r="AU1" s="68">
        <f>SUM(AL1:AL2)</f>
        <v>0</v>
      </c>
    </row>
    <row r="2" spans="1:76" ht="15" customHeight="1" x14ac:dyDescent="0.3">
      <c r="A2" s="13" t="s">
        <v>1</v>
      </c>
      <c r="B2" s="13"/>
      <c r="C2" s="13"/>
      <c r="D2" s="12" t="str">
        <f>'Stavební rozpočet'!D2</f>
        <v>DEMOLICE PANELOVÉHO DOMU V HORNÍM PARKU</v>
      </c>
      <c r="E2" s="12"/>
      <c r="F2" s="193" t="s">
        <v>94</v>
      </c>
      <c r="G2" s="193"/>
      <c r="H2" s="11" t="str">
        <f>'Stavební rozpočet'!H2</f>
        <v xml:space="preserve"> </v>
      </c>
      <c r="I2" s="11" t="s">
        <v>2</v>
      </c>
      <c r="J2" s="11"/>
      <c r="K2" s="181" t="str">
        <f>'Stavební rozpočet'!J2</f>
        <v>MĚSTO ZNOJMO</v>
      </c>
      <c r="L2" s="181"/>
      <c r="M2" s="181"/>
      <c r="N2" s="181"/>
      <c r="O2" s="181"/>
      <c r="P2" s="181"/>
    </row>
    <row r="3" spans="1:76" x14ac:dyDescent="0.3">
      <c r="A3" s="13"/>
      <c r="B3" s="13"/>
      <c r="C3" s="13"/>
      <c r="D3" s="12"/>
      <c r="E3" s="12"/>
      <c r="F3" s="193"/>
      <c r="G3" s="193"/>
      <c r="H3" s="11"/>
      <c r="I3" s="11"/>
      <c r="J3" s="11"/>
      <c r="K3" s="181"/>
      <c r="L3" s="181"/>
      <c r="M3" s="181"/>
      <c r="N3" s="181"/>
      <c r="O3" s="181"/>
      <c r="P3" s="181"/>
    </row>
    <row r="4" spans="1:76" ht="15" customHeight="1" x14ac:dyDescent="0.3">
      <c r="A4" s="9" t="s">
        <v>4</v>
      </c>
      <c r="B4" s="9"/>
      <c r="C4" s="9"/>
      <c r="D4" s="8" t="str">
        <f>'Stavební rozpočet'!D4</f>
        <v>Postupná demolice panelového domu</v>
      </c>
      <c r="E4" s="8"/>
      <c r="F4" s="6" t="s">
        <v>9</v>
      </c>
      <c r="G4" s="6"/>
      <c r="H4" s="8" t="str">
        <f>'Stavební rozpočet'!H4</f>
        <v xml:space="preserve"> </v>
      </c>
      <c r="I4" s="8" t="s">
        <v>5</v>
      </c>
      <c r="J4" s="8"/>
      <c r="K4" s="182" t="str">
        <f>'Stavební rozpočet'!J4</f>
        <v>Ing.  Roman Zvěřina, Dolní Česká 358/25, 669 02 Znojmo</v>
      </c>
      <c r="L4" s="182"/>
      <c r="M4" s="182"/>
      <c r="N4" s="182"/>
      <c r="O4" s="182"/>
      <c r="P4" s="182"/>
    </row>
    <row r="5" spans="1:76" x14ac:dyDescent="0.3">
      <c r="A5" s="9"/>
      <c r="B5" s="9"/>
      <c r="C5" s="9"/>
      <c r="D5" s="8"/>
      <c r="E5" s="8"/>
      <c r="F5" s="6"/>
      <c r="G5" s="6"/>
      <c r="H5" s="8"/>
      <c r="I5" s="8"/>
      <c r="J5" s="8"/>
      <c r="K5" s="182"/>
      <c r="L5" s="182"/>
      <c r="M5" s="182"/>
      <c r="N5" s="182"/>
      <c r="O5" s="182"/>
      <c r="P5" s="182"/>
    </row>
    <row r="6" spans="1:76" ht="15" customHeight="1" x14ac:dyDescent="0.3">
      <c r="A6" s="9" t="s">
        <v>7</v>
      </c>
      <c r="B6" s="9"/>
      <c r="C6" s="9"/>
      <c r="D6" s="8" t="str">
        <f>'Stavební rozpočet'!D6</f>
        <v>k.ú.Znojmo-město parc.č.258/5</v>
      </c>
      <c r="E6" s="8"/>
      <c r="F6" s="6" t="s">
        <v>10</v>
      </c>
      <c r="G6" s="6"/>
      <c r="H6" s="8" t="str">
        <f>'Stavební rozpočet'!H6</f>
        <v xml:space="preserve"> </v>
      </c>
      <c r="I6" s="8" t="s">
        <v>8</v>
      </c>
      <c r="J6" s="8"/>
      <c r="K6" s="182" t="str">
        <f>'Stavební rozpočet'!J6</f>
        <v> </v>
      </c>
      <c r="L6" s="182"/>
      <c r="M6" s="182"/>
      <c r="N6" s="182"/>
      <c r="O6" s="182"/>
      <c r="P6" s="182"/>
    </row>
    <row r="7" spans="1:76" x14ac:dyDescent="0.3">
      <c r="A7" s="9"/>
      <c r="B7" s="9"/>
      <c r="C7" s="9"/>
      <c r="D7" s="8"/>
      <c r="E7" s="8"/>
      <c r="F7" s="6"/>
      <c r="G7" s="6"/>
      <c r="H7" s="8"/>
      <c r="I7" s="8"/>
      <c r="J7" s="8"/>
      <c r="K7" s="182"/>
      <c r="L7" s="182"/>
      <c r="M7" s="182"/>
      <c r="N7" s="182"/>
      <c r="O7" s="182"/>
      <c r="P7" s="182"/>
    </row>
    <row r="8" spans="1:76" ht="15" customHeight="1" x14ac:dyDescent="0.3">
      <c r="A8" s="9" t="s">
        <v>12</v>
      </c>
      <c r="B8" s="9"/>
      <c r="C8" s="9"/>
      <c r="D8" s="8" t="str">
        <f>'Stavební rozpočet'!D8</f>
        <v>80331</v>
      </c>
      <c r="E8" s="8"/>
      <c r="F8" s="6" t="s">
        <v>95</v>
      </c>
      <c r="G8" s="6"/>
      <c r="H8" s="8" t="str">
        <f>'Stavební rozpočet'!H8</f>
        <v>16.05.2025</v>
      </c>
      <c r="I8" s="8" t="s">
        <v>13</v>
      </c>
      <c r="J8" s="8"/>
      <c r="K8" s="182" t="str">
        <f>'Stavební rozpočet'!J8</f>
        <v>Bohuslav Hemala</v>
      </c>
      <c r="L8" s="182"/>
      <c r="M8" s="182"/>
      <c r="N8" s="182"/>
      <c r="O8" s="182"/>
      <c r="P8" s="182"/>
    </row>
    <row r="9" spans="1:76" x14ac:dyDescent="0.3">
      <c r="A9" s="9"/>
      <c r="B9" s="9"/>
      <c r="C9" s="9"/>
      <c r="D9" s="8"/>
      <c r="E9" s="8"/>
      <c r="F9" s="6"/>
      <c r="G9" s="6"/>
      <c r="H9" s="8"/>
      <c r="I9" s="8"/>
      <c r="J9" s="8"/>
      <c r="K9" s="182"/>
      <c r="L9" s="182"/>
      <c r="M9" s="182"/>
      <c r="N9" s="182"/>
      <c r="O9" s="182"/>
      <c r="P9" s="182"/>
    </row>
    <row r="10" spans="1:76" ht="15" customHeight="1" x14ac:dyDescent="0.3">
      <c r="A10" s="69" t="s">
        <v>122</v>
      </c>
      <c r="B10" s="70" t="s">
        <v>99</v>
      </c>
      <c r="C10" s="70" t="s">
        <v>123</v>
      </c>
      <c r="D10" s="194" t="s">
        <v>100</v>
      </c>
      <c r="E10" s="194"/>
      <c r="F10" s="70" t="s">
        <v>124</v>
      </c>
      <c r="G10" s="71" t="s">
        <v>125</v>
      </c>
      <c r="H10" s="72" t="s">
        <v>126</v>
      </c>
      <c r="I10" s="73" t="s">
        <v>920</v>
      </c>
      <c r="J10" s="184" t="s">
        <v>97</v>
      </c>
      <c r="K10" s="184"/>
      <c r="L10" s="184"/>
      <c r="M10" s="47" t="s">
        <v>97</v>
      </c>
      <c r="N10" s="195" t="s">
        <v>98</v>
      </c>
      <c r="O10" s="195"/>
      <c r="P10" s="74" t="s">
        <v>128</v>
      </c>
      <c r="BK10" s="75" t="s">
        <v>129</v>
      </c>
      <c r="BL10" s="76" t="s">
        <v>130</v>
      </c>
      <c r="BW10" s="76" t="s">
        <v>131</v>
      </c>
    </row>
    <row r="11" spans="1:76" ht="15" customHeight="1" x14ac:dyDescent="0.3">
      <c r="A11" s="77" t="s">
        <v>96</v>
      </c>
      <c r="B11" s="78" t="s">
        <v>96</v>
      </c>
      <c r="C11" s="78" t="s">
        <v>96</v>
      </c>
      <c r="D11" s="196" t="s">
        <v>132</v>
      </c>
      <c r="E11" s="196"/>
      <c r="F11" s="78" t="s">
        <v>96</v>
      </c>
      <c r="G11" s="79" t="s">
        <v>96</v>
      </c>
      <c r="H11" s="80" t="s">
        <v>133</v>
      </c>
      <c r="I11" s="81" t="s">
        <v>96</v>
      </c>
      <c r="J11" s="49" t="s">
        <v>101</v>
      </c>
      <c r="K11" s="50" t="s">
        <v>39</v>
      </c>
      <c r="L11" s="51" t="s">
        <v>102</v>
      </c>
      <c r="M11" s="51" t="s">
        <v>135</v>
      </c>
      <c r="N11" s="50" t="s">
        <v>136</v>
      </c>
      <c r="O11" s="80" t="s">
        <v>102</v>
      </c>
      <c r="P11" s="49" t="s">
        <v>137</v>
      </c>
      <c r="Z11" s="75" t="s">
        <v>138</v>
      </c>
      <c r="AA11" s="75" t="s">
        <v>139</v>
      </c>
      <c r="AB11" s="75" t="s">
        <v>140</v>
      </c>
      <c r="AC11" s="75" t="s">
        <v>141</v>
      </c>
      <c r="AD11" s="75" t="s">
        <v>142</v>
      </c>
      <c r="AE11" s="75" t="s">
        <v>143</v>
      </c>
      <c r="AF11" s="75" t="s">
        <v>144</v>
      </c>
      <c r="AG11" s="75" t="s">
        <v>145</v>
      </c>
      <c r="AH11" s="75" t="s">
        <v>146</v>
      </c>
      <c r="BH11" s="75" t="s">
        <v>147</v>
      </c>
      <c r="BI11" s="75" t="s">
        <v>148</v>
      </c>
      <c r="BJ11" s="75" t="s">
        <v>149</v>
      </c>
    </row>
    <row r="12" spans="1:76" ht="31.2" customHeight="1" x14ac:dyDescent="0.3">
      <c r="A12" s="58"/>
      <c r="B12" s="114" t="s">
        <v>108</v>
      </c>
      <c r="C12" s="114"/>
      <c r="D12" s="202" t="s">
        <v>109</v>
      </c>
      <c r="E12" s="202"/>
      <c r="F12" s="58" t="s">
        <v>96</v>
      </c>
      <c r="G12" s="115" t="s">
        <v>96</v>
      </c>
      <c r="H12" s="58" t="s">
        <v>96</v>
      </c>
      <c r="I12" s="58" t="s">
        <v>96</v>
      </c>
      <c r="J12" s="116">
        <f>J13+J18+J20+J27+J30+J34+J36+J40+J43</f>
        <v>0</v>
      </c>
      <c r="K12" s="116">
        <f>K13+K18+K20+K27+K30+K34+K36+K40+K43</f>
        <v>0</v>
      </c>
      <c r="L12" s="116">
        <f>L13+L18+L20+L27+L30+L34+L36+L40+L43</f>
        <v>0</v>
      </c>
      <c r="M12" s="116">
        <f>M13+M18+M20+M27+M30+M34+M36+M40+M43</f>
        <v>0</v>
      </c>
      <c r="N12" s="117"/>
      <c r="O12" s="116">
        <f>O13+O18+O20+O27+O30+O34+O36+O40+O43</f>
        <v>472.57939607999998</v>
      </c>
      <c r="P12" s="117"/>
    </row>
    <row r="13" spans="1:76" ht="15" customHeight="1" x14ac:dyDescent="0.3">
      <c r="A13" s="88"/>
      <c r="B13" s="89" t="s">
        <v>108</v>
      </c>
      <c r="C13" s="89" t="s">
        <v>203</v>
      </c>
      <c r="D13" s="198" t="s">
        <v>467</v>
      </c>
      <c r="E13" s="198"/>
      <c r="F13" s="88" t="s">
        <v>96</v>
      </c>
      <c r="G13" s="90" t="s">
        <v>96</v>
      </c>
      <c r="H13" s="88" t="s">
        <v>96</v>
      </c>
      <c r="I13" s="88" t="s">
        <v>96</v>
      </c>
      <c r="J13" s="91">
        <f>SUM(J14:J17)</f>
        <v>0</v>
      </c>
      <c r="K13" s="91">
        <f>SUM(K14:K17)</f>
        <v>0</v>
      </c>
      <c r="L13" s="91">
        <f>SUM(L14:L17)</f>
        <v>0</v>
      </c>
      <c r="M13" s="91">
        <f>SUM(M14:M17)</f>
        <v>0</v>
      </c>
      <c r="N13" s="92"/>
      <c r="O13" s="91">
        <f>SUM(O14:O17)</f>
        <v>0</v>
      </c>
      <c r="P13" s="92"/>
      <c r="AI13" s="75" t="s">
        <v>108</v>
      </c>
      <c r="AS13" s="68">
        <f>SUM(AJ14:AJ17)</f>
        <v>0</v>
      </c>
      <c r="AT13" s="68">
        <f>SUM(AK14:AK17)</f>
        <v>0</v>
      </c>
      <c r="AU13" s="68">
        <f>SUM(AL14:AL17)</f>
        <v>0</v>
      </c>
    </row>
    <row r="14" spans="1:76" ht="15" customHeight="1" x14ac:dyDescent="0.3">
      <c r="A14" s="94" t="s">
        <v>152</v>
      </c>
      <c r="B14" s="94" t="s">
        <v>108</v>
      </c>
      <c r="C14" s="94" t="s">
        <v>496</v>
      </c>
      <c r="D14" s="199" t="s">
        <v>497</v>
      </c>
      <c r="E14" s="199"/>
      <c r="F14" s="94" t="s">
        <v>155</v>
      </c>
      <c r="G14" s="96">
        <f>'Stavební rozpočet'!G136</f>
        <v>108.72499999999999</v>
      </c>
      <c r="H14" s="97">
        <f>'Stavební rozpočet'!H136</f>
        <v>0</v>
      </c>
      <c r="I14" s="98">
        <v>21</v>
      </c>
      <c r="J14" s="97">
        <f>ROUND(G14*AO14,2)</f>
        <v>0</v>
      </c>
      <c r="K14" s="97">
        <f>ROUND(G14*AP14,2)</f>
        <v>0</v>
      </c>
      <c r="L14" s="97">
        <f>ROUND(G14*H14,2)</f>
        <v>0</v>
      </c>
      <c r="M14" s="97">
        <f>L14*(1+BW14/100)</f>
        <v>0</v>
      </c>
      <c r="N14" s="97">
        <f>'Stavební rozpočet'!N136</f>
        <v>0</v>
      </c>
      <c r="O14" s="97">
        <f>G14*N14</f>
        <v>0</v>
      </c>
      <c r="P14" s="99" t="s">
        <v>156</v>
      </c>
      <c r="Z14" s="55">
        <f>ROUND(IF(AQ14="5",BJ14,0),2)</f>
        <v>0</v>
      </c>
      <c r="AB14" s="55">
        <f>ROUND(IF(AQ14="1",BH14,0),2)</f>
        <v>0</v>
      </c>
      <c r="AC14" s="55">
        <f>ROUND(IF(AQ14="1",BI14,0),2)</f>
        <v>0</v>
      </c>
      <c r="AD14" s="55">
        <f>ROUND(IF(AQ14="7",BH14,0),2)</f>
        <v>0</v>
      </c>
      <c r="AE14" s="55">
        <f>ROUND(IF(AQ14="7",BI14,0),2)</f>
        <v>0</v>
      </c>
      <c r="AF14" s="55">
        <f>ROUND(IF(AQ14="2",BH14,0),2)</f>
        <v>0</v>
      </c>
      <c r="AG14" s="55">
        <f>ROUND(IF(AQ14="2",BI14,0),2)</f>
        <v>0</v>
      </c>
      <c r="AH14" s="55">
        <f>ROUND(IF(AQ14="0",BJ14,0),2)</f>
        <v>0</v>
      </c>
      <c r="AI14" s="75" t="s">
        <v>108</v>
      </c>
      <c r="AJ14" s="55">
        <f>IF(AN14=0,L14,0)</f>
        <v>0</v>
      </c>
      <c r="AK14" s="55">
        <f>IF(AN14=12,L14,0)</f>
        <v>0</v>
      </c>
      <c r="AL14" s="55">
        <f>IF(AN14=21,L14,0)</f>
        <v>0</v>
      </c>
      <c r="AN14" s="55">
        <v>21</v>
      </c>
      <c r="AO14" s="55">
        <f>H14*0</f>
        <v>0</v>
      </c>
      <c r="AP14" s="55">
        <f>H14*(1-0)</f>
        <v>0</v>
      </c>
      <c r="AQ14" s="54" t="s">
        <v>152</v>
      </c>
      <c r="AV14" s="55">
        <f>ROUND(AW14+AX14,2)</f>
        <v>0</v>
      </c>
      <c r="AW14" s="55">
        <f>ROUND(G14*AO14,2)</f>
        <v>0</v>
      </c>
      <c r="AX14" s="55">
        <f>ROUND(G14*AP14,2)</f>
        <v>0</v>
      </c>
      <c r="AY14" s="54" t="s">
        <v>471</v>
      </c>
      <c r="AZ14" s="54" t="s">
        <v>498</v>
      </c>
      <c r="BA14" s="75" t="s">
        <v>499</v>
      </c>
      <c r="BC14" s="55">
        <f>AW14+AX14</f>
        <v>0</v>
      </c>
      <c r="BD14" s="55">
        <f>H14/(100-BE14)*100</f>
        <v>0</v>
      </c>
      <c r="BE14" s="55">
        <v>0</v>
      </c>
      <c r="BF14" s="55">
        <f>O14</f>
        <v>0</v>
      </c>
      <c r="BH14" s="55">
        <f>G14*AO14</f>
        <v>0</v>
      </c>
      <c r="BI14" s="55">
        <f>G14*AP14</f>
        <v>0</v>
      </c>
      <c r="BJ14" s="55">
        <f>G14*H14</f>
        <v>0</v>
      </c>
      <c r="BK14" s="54" t="s">
        <v>161</v>
      </c>
      <c r="BL14" s="55">
        <v>11</v>
      </c>
      <c r="BW14" s="55">
        <f>I14</f>
        <v>21</v>
      </c>
      <c r="BX14" s="16" t="s">
        <v>497</v>
      </c>
    </row>
    <row r="15" spans="1:76" ht="15" customHeight="1" x14ac:dyDescent="0.3">
      <c r="A15" s="94" t="s">
        <v>162</v>
      </c>
      <c r="B15" s="94" t="s">
        <v>108</v>
      </c>
      <c r="C15" s="94" t="s">
        <v>500</v>
      </c>
      <c r="D15" s="199" t="s">
        <v>501</v>
      </c>
      <c r="E15" s="199"/>
      <c r="F15" s="94" t="s">
        <v>212</v>
      </c>
      <c r="G15" s="96">
        <f>'Stavební rozpočet'!G137</f>
        <v>2</v>
      </c>
      <c r="H15" s="97">
        <f>'Stavební rozpočet'!H137</f>
        <v>0</v>
      </c>
      <c r="I15" s="98">
        <v>21</v>
      </c>
      <c r="J15" s="97">
        <f>ROUND(G15*AO15,2)</f>
        <v>0</v>
      </c>
      <c r="K15" s="97">
        <f>ROUND(G15*AP15,2)</f>
        <v>0</v>
      </c>
      <c r="L15" s="97">
        <f>ROUND(G15*H15,2)</f>
        <v>0</v>
      </c>
      <c r="M15" s="97">
        <f>L15*(1+BW15/100)</f>
        <v>0</v>
      </c>
      <c r="N15" s="97">
        <f>'Stavební rozpočet'!N137</f>
        <v>0</v>
      </c>
      <c r="O15" s="97">
        <f>G15*N15</f>
        <v>0</v>
      </c>
      <c r="P15" s="99" t="s">
        <v>156</v>
      </c>
      <c r="Z15" s="55">
        <f>ROUND(IF(AQ15="5",BJ15,0),2)</f>
        <v>0</v>
      </c>
      <c r="AB15" s="55">
        <f>ROUND(IF(AQ15="1",BH15,0),2)</f>
        <v>0</v>
      </c>
      <c r="AC15" s="55">
        <f>ROUND(IF(AQ15="1",BI15,0),2)</f>
        <v>0</v>
      </c>
      <c r="AD15" s="55">
        <f>ROUND(IF(AQ15="7",BH15,0),2)</f>
        <v>0</v>
      </c>
      <c r="AE15" s="55">
        <f>ROUND(IF(AQ15="7",BI15,0),2)</f>
        <v>0</v>
      </c>
      <c r="AF15" s="55">
        <f>ROUND(IF(AQ15="2",BH15,0),2)</f>
        <v>0</v>
      </c>
      <c r="AG15" s="55">
        <f>ROUND(IF(AQ15="2",BI15,0),2)</f>
        <v>0</v>
      </c>
      <c r="AH15" s="55">
        <f>ROUND(IF(AQ15="0",BJ15,0),2)</f>
        <v>0</v>
      </c>
      <c r="AI15" s="75" t="s">
        <v>108</v>
      </c>
      <c r="AJ15" s="55">
        <f>IF(AN15=0,L15,0)</f>
        <v>0</v>
      </c>
      <c r="AK15" s="55">
        <f>IF(AN15=12,L15,0)</f>
        <v>0</v>
      </c>
      <c r="AL15" s="55">
        <f>IF(AN15=21,L15,0)</f>
        <v>0</v>
      </c>
      <c r="AN15" s="55">
        <v>21</v>
      </c>
      <c r="AO15" s="55">
        <f>H15*0</f>
        <v>0</v>
      </c>
      <c r="AP15" s="55">
        <f>H15*(1-0)</f>
        <v>0</v>
      </c>
      <c r="AQ15" s="54" t="s">
        <v>152</v>
      </c>
      <c r="AV15" s="55">
        <f>ROUND(AW15+AX15,2)</f>
        <v>0</v>
      </c>
      <c r="AW15" s="55">
        <f>ROUND(G15*AO15,2)</f>
        <v>0</v>
      </c>
      <c r="AX15" s="55">
        <f>ROUND(G15*AP15,2)</f>
        <v>0</v>
      </c>
      <c r="AY15" s="54" t="s">
        <v>471</v>
      </c>
      <c r="AZ15" s="54" t="s">
        <v>498</v>
      </c>
      <c r="BA15" s="75" t="s">
        <v>499</v>
      </c>
      <c r="BC15" s="55">
        <f>AW15+AX15</f>
        <v>0</v>
      </c>
      <c r="BD15" s="55">
        <f>H15/(100-BE15)*100</f>
        <v>0</v>
      </c>
      <c r="BE15" s="55">
        <v>0</v>
      </c>
      <c r="BF15" s="55">
        <f>O15</f>
        <v>0</v>
      </c>
      <c r="BH15" s="55">
        <f>G15*AO15</f>
        <v>0</v>
      </c>
      <c r="BI15" s="55">
        <f>G15*AP15</f>
        <v>0</v>
      </c>
      <c r="BJ15" s="55">
        <f>G15*H15</f>
        <v>0</v>
      </c>
      <c r="BK15" s="54" t="s">
        <v>161</v>
      </c>
      <c r="BL15" s="55">
        <v>11</v>
      </c>
      <c r="BW15" s="55">
        <f>I15</f>
        <v>21</v>
      </c>
      <c r="BX15" s="16" t="s">
        <v>501</v>
      </c>
    </row>
    <row r="16" spans="1:76" ht="15" customHeight="1" x14ac:dyDescent="0.3">
      <c r="A16" s="94" t="s">
        <v>167</v>
      </c>
      <c r="B16" s="94" t="s">
        <v>108</v>
      </c>
      <c r="C16" s="94" t="s">
        <v>503</v>
      </c>
      <c r="D16" s="199" t="s">
        <v>504</v>
      </c>
      <c r="E16" s="199"/>
      <c r="F16" s="94" t="s">
        <v>212</v>
      </c>
      <c r="G16" s="96">
        <f>'Stavební rozpočet'!G138</f>
        <v>2</v>
      </c>
      <c r="H16" s="97">
        <f>'Stavební rozpočet'!H138</f>
        <v>0</v>
      </c>
      <c r="I16" s="98">
        <v>21</v>
      </c>
      <c r="J16" s="97">
        <f>ROUND(G16*AO16,2)</f>
        <v>0</v>
      </c>
      <c r="K16" s="97">
        <f>ROUND(G16*AP16,2)</f>
        <v>0</v>
      </c>
      <c r="L16" s="97">
        <f>ROUND(G16*H16,2)</f>
        <v>0</v>
      </c>
      <c r="M16" s="97">
        <f>L16*(1+BW16/100)</f>
        <v>0</v>
      </c>
      <c r="N16" s="97">
        <f>'Stavební rozpočet'!N138</f>
        <v>0</v>
      </c>
      <c r="O16" s="97">
        <f>G16*N16</f>
        <v>0</v>
      </c>
      <c r="P16" s="99" t="s">
        <v>156</v>
      </c>
      <c r="Z16" s="55">
        <f>ROUND(IF(AQ16="5",BJ16,0),2)</f>
        <v>0</v>
      </c>
      <c r="AB16" s="55">
        <f>ROUND(IF(AQ16="1",BH16,0),2)</f>
        <v>0</v>
      </c>
      <c r="AC16" s="55">
        <f>ROUND(IF(AQ16="1",BI16,0),2)</f>
        <v>0</v>
      </c>
      <c r="AD16" s="55">
        <f>ROUND(IF(AQ16="7",BH16,0),2)</f>
        <v>0</v>
      </c>
      <c r="AE16" s="55">
        <f>ROUND(IF(AQ16="7",BI16,0),2)</f>
        <v>0</v>
      </c>
      <c r="AF16" s="55">
        <f>ROUND(IF(AQ16="2",BH16,0),2)</f>
        <v>0</v>
      </c>
      <c r="AG16" s="55">
        <f>ROUND(IF(AQ16="2",BI16,0),2)</f>
        <v>0</v>
      </c>
      <c r="AH16" s="55">
        <f>ROUND(IF(AQ16="0",BJ16,0),2)</f>
        <v>0</v>
      </c>
      <c r="AI16" s="75" t="s">
        <v>108</v>
      </c>
      <c r="AJ16" s="55">
        <f>IF(AN16=0,L16,0)</f>
        <v>0</v>
      </c>
      <c r="AK16" s="55">
        <f>IF(AN16=12,L16,0)</f>
        <v>0</v>
      </c>
      <c r="AL16" s="55">
        <f>IF(AN16=21,L16,0)</f>
        <v>0</v>
      </c>
      <c r="AN16" s="55">
        <v>21</v>
      </c>
      <c r="AO16" s="55">
        <f>H16*0</f>
        <v>0</v>
      </c>
      <c r="AP16" s="55">
        <f>H16*(1-0)</f>
        <v>0</v>
      </c>
      <c r="AQ16" s="54" t="s">
        <v>152</v>
      </c>
      <c r="AV16" s="55">
        <f>ROUND(AW16+AX16,2)</f>
        <v>0</v>
      </c>
      <c r="AW16" s="55">
        <f>ROUND(G16*AO16,2)</f>
        <v>0</v>
      </c>
      <c r="AX16" s="55">
        <f>ROUND(G16*AP16,2)</f>
        <v>0</v>
      </c>
      <c r="AY16" s="54" t="s">
        <v>471</v>
      </c>
      <c r="AZ16" s="54" t="s">
        <v>498</v>
      </c>
      <c r="BA16" s="75" t="s">
        <v>499</v>
      </c>
      <c r="BC16" s="55">
        <f>AW16+AX16</f>
        <v>0</v>
      </c>
      <c r="BD16" s="55">
        <f>H16/(100-BE16)*100</f>
        <v>0</v>
      </c>
      <c r="BE16" s="55">
        <v>0</v>
      </c>
      <c r="BF16" s="55">
        <f>O16</f>
        <v>0</v>
      </c>
      <c r="BH16" s="55">
        <f>G16*AO16</f>
        <v>0</v>
      </c>
      <c r="BI16" s="55">
        <f>G16*AP16</f>
        <v>0</v>
      </c>
      <c r="BJ16" s="55">
        <f>G16*H16</f>
        <v>0</v>
      </c>
      <c r="BK16" s="54" t="s">
        <v>161</v>
      </c>
      <c r="BL16" s="55">
        <v>11</v>
      </c>
      <c r="BW16" s="55">
        <f>I16</f>
        <v>21</v>
      </c>
      <c r="BX16" s="16" t="s">
        <v>504</v>
      </c>
    </row>
    <row r="17" spans="1:76" ht="15" customHeight="1" x14ac:dyDescent="0.3">
      <c r="A17" s="94" t="s">
        <v>173</v>
      </c>
      <c r="B17" s="94" t="s">
        <v>108</v>
      </c>
      <c r="C17" s="94" t="s">
        <v>506</v>
      </c>
      <c r="D17" s="199" t="s">
        <v>507</v>
      </c>
      <c r="E17" s="199"/>
      <c r="F17" s="94" t="s">
        <v>366</v>
      </c>
      <c r="G17" s="96">
        <f>'Stavební rozpočet'!G139</f>
        <v>1.5</v>
      </c>
      <c r="H17" s="97">
        <f>'Stavební rozpočet'!H139</f>
        <v>0</v>
      </c>
      <c r="I17" s="98">
        <v>21</v>
      </c>
      <c r="J17" s="97">
        <f>ROUND(G17*AO17,2)</f>
        <v>0</v>
      </c>
      <c r="K17" s="97">
        <f>ROUND(G17*AP17,2)</f>
        <v>0</v>
      </c>
      <c r="L17" s="97">
        <f>ROUND(G17*H17,2)</f>
        <v>0</v>
      </c>
      <c r="M17" s="97">
        <f>L17*(1+BW17/100)</f>
        <v>0</v>
      </c>
      <c r="N17" s="97">
        <f>'Stavební rozpočet'!N139</f>
        <v>0</v>
      </c>
      <c r="O17" s="97">
        <f>G17*N17</f>
        <v>0</v>
      </c>
      <c r="P17" s="99" t="s">
        <v>156</v>
      </c>
      <c r="Z17" s="55">
        <f>ROUND(IF(AQ17="5",BJ17,0),2)</f>
        <v>0</v>
      </c>
      <c r="AB17" s="55">
        <f>ROUND(IF(AQ17="1",BH17,0),2)</f>
        <v>0</v>
      </c>
      <c r="AC17" s="55">
        <f>ROUND(IF(AQ17="1",BI17,0),2)</f>
        <v>0</v>
      </c>
      <c r="AD17" s="55">
        <f>ROUND(IF(AQ17="7",BH17,0),2)</f>
        <v>0</v>
      </c>
      <c r="AE17" s="55">
        <f>ROUND(IF(AQ17="7",BI17,0),2)</f>
        <v>0</v>
      </c>
      <c r="AF17" s="55">
        <f>ROUND(IF(AQ17="2",BH17,0),2)</f>
        <v>0</v>
      </c>
      <c r="AG17" s="55">
        <f>ROUND(IF(AQ17="2",BI17,0),2)</f>
        <v>0</v>
      </c>
      <c r="AH17" s="55">
        <f>ROUND(IF(AQ17="0",BJ17,0),2)</f>
        <v>0</v>
      </c>
      <c r="AI17" s="75" t="s">
        <v>108</v>
      </c>
      <c r="AJ17" s="55">
        <f>IF(AN17=0,L17,0)</f>
        <v>0</v>
      </c>
      <c r="AK17" s="55">
        <f>IF(AN17=12,L17,0)</f>
        <v>0</v>
      </c>
      <c r="AL17" s="55">
        <f>IF(AN17=21,L17,0)</f>
        <v>0</v>
      </c>
      <c r="AN17" s="55">
        <v>21</v>
      </c>
      <c r="AO17" s="55">
        <f>H17*0</f>
        <v>0</v>
      </c>
      <c r="AP17" s="55">
        <f>H17*(1-0)</f>
        <v>0</v>
      </c>
      <c r="AQ17" s="54" t="s">
        <v>152</v>
      </c>
      <c r="AV17" s="55">
        <f>ROUND(AW17+AX17,2)</f>
        <v>0</v>
      </c>
      <c r="AW17" s="55">
        <f>ROUND(G17*AO17,2)</f>
        <v>0</v>
      </c>
      <c r="AX17" s="55">
        <f>ROUND(G17*AP17,2)</f>
        <v>0</v>
      </c>
      <c r="AY17" s="54" t="s">
        <v>471</v>
      </c>
      <c r="AZ17" s="54" t="s">
        <v>498</v>
      </c>
      <c r="BA17" s="75" t="s">
        <v>499</v>
      </c>
      <c r="BC17" s="55">
        <f>AW17+AX17</f>
        <v>0</v>
      </c>
      <c r="BD17" s="55">
        <f>H17/(100-BE17)*100</f>
        <v>0</v>
      </c>
      <c r="BE17" s="55">
        <v>0</v>
      </c>
      <c r="BF17" s="55">
        <f>O17</f>
        <v>0</v>
      </c>
      <c r="BH17" s="55">
        <f>G17*AO17</f>
        <v>0</v>
      </c>
      <c r="BI17" s="55">
        <f>G17*AP17</f>
        <v>0</v>
      </c>
      <c r="BJ17" s="55">
        <f>G17*H17</f>
        <v>0</v>
      </c>
      <c r="BK17" s="54" t="s">
        <v>161</v>
      </c>
      <c r="BL17" s="55">
        <v>11</v>
      </c>
      <c r="BW17" s="55">
        <f>I17</f>
        <v>21</v>
      </c>
      <c r="BX17" s="16" t="s">
        <v>507</v>
      </c>
    </row>
    <row r="18" spans="1:76" ht="15" customHeight="1" x14ac:dyDescent="0.3">
      <c r="A18" s="88"/>
      <c r="B18" s="89" t="s">
        <v>108</v>
      </c>
      <c r="C18" s="89" t="s">
        <v>206</v>
      </c>
      <c r="D18" s="198" t="s">
        <v>508</v>
      </c>
      <c r="E18" s="198"/>
      <c r="F18" s="88" t="s">
        <v>96</v>
      </c>
      <c r="G18" s="90" t="s">
        <v>96</v>
      </c>
      <c r="H18" s="88" t="s">
        <v>96</v>
      </c>
      <c r="I18" s="88" t="s">
        <v>96</v>
      </c>
      <c r="J18" s="91">
        <f>SUM(J19)</f>
        <v>0</v>
      </c>
      <c r="K18" s="91">
        <f>SUM(K19)</f>
        <v>0</v>
      </c>
      <c r="L18" s="91">
        <f>SUM(L19)</f>
        <v>0</v>
      </c>
      <c r="M18" s="91">
        <f>SUM(M19)</f>
        <v>0</v>
      </c>
      <c r="N18" s="92"/>
      <c r="O18" s="91">
        <f>SUM(O19)</f>
        <v>0</v>
      </c>
      <c r="P18" s="92"/>
      <c r="AI18" s="75" t="s">
        <v>108</v>
      </c>
      <c r="AS18" s="68">
        <f>SUM(AJ19)</f>
        <v>0</v>
      </c>
      <c r="AT18" s="68">
        <f>SUM(AK19)</f>
        <v>0</v>
      </c>
      <c r="AU18" s="68">
        <f>SUM(AL19)</f>
        <v>0</v>
      </c>
    </row>
    <row r="19" spans="1:76" ht="15" customHeight="1" x14ac:dyDescent="0.3">
      <c r="A19" s="94" t="s">
        <v>179</v>
      </c>
      <c r="B19" s="94" t="s">
        <v>108</v>
      </c>
      <c r="C19" s="94" t="s">
        <v>510</v>
      </c>
      <c r="D19" s="199" t="s">
        <v>511</v>
      </c>
      <c r="E19" s="199"/>
      <c r="F19" s="94" t="s">
        <v>366</v>
      </c>
      <c r="G19" s="96">
        <f>'Stavební rozpočet'!G141</f>
        <v>73.59</v>
      </c>
      <c r="H19" s="97">
        <f>'Stavební rozpočet'!H141</f>
        <v>0</v>
      </c>
      <c r="I19" s="98">
        <v>21</v>
      </c>
      <c r="J19" s="97">
        <f>ROUND(G19*AO19,2)</f>
        <v>0</v>
      </c>
      <c r="K19" s="97">
        <f>ROUND(G19*AP19,2)</f>
        <v>0</v>
      </c>
      <c r="L19" s="97">
        <f>ROUND(G19*H19,2)</f>
        <v>0</v>
      </c>
      <c r="M19" s="97">
        <f>L19*(1+BW19/100)</f>
        <v>0</v>
      </c>
      <c r="N19" s="97">
        <f>'Stavební rozpočet'!N141</f>
        <v>0</v>
      </c>
      <c r="O19" s="97">
        <f>G19*N19</f>
        <v>0</v>
      </c>
      <c r="P19" s="99" t="s">
        <v>156</v>
      </c>
      <c r="Z19" s="55">
        <f>ROUND(IF(AQ19="5",BJ19,0),2)</f>
        <v>0</v>
      </c>
      <c r="AB19" s="55">
        <f>ROUND(IF(AQ19="1",BH19,0),2)</f>
        <v>0</v>
      </c>
      <c r="AC19" s="55">
        <f>ROUND(IF(AQ19="1",BI19,0),2)</f>
        <v>0</v>
      </c>
      <c r="AD19" s="55">
        <f>ROUND(IF(AQ19="7",BH19,0),2)</f>
        <v>0</v>
      </c>
      <c r="AE19" s="55">
        <f>ROUND(IF(AQ19="7",BI19,0),2)</f>
        <v>0</v>
      </c>
      <c r="AF19" s="55">
        <f>ROUND(IF(AQ19="2",BH19,0),2)</f>
        <v>0</v>
      </c>
      <c r="AG19" s="55">
        <f>ROUND(IF(AQ19="2",BI19,0),2)</f>
        <v>0</v>
      </c>
      <c r="AH19" s="55">
        <f>ROUND(IF(AQ19="0",BJ19,0),2)</f>
        <v>0</v>
      </c>
      <c r="AI19" s="75" t="s">
        <v>108</v>
      </c>
      <c r="AJ19" s="55">
        <f>IF(AN19=0,L19,0)</f>
        <v>0</v>
      </c>
      <c r="AK19" s="55">
        <f>IF(AN19=12,L19,0)</f>
        <v>0</v>
      </c>
      <c r="AL19" s="55">
        <f>IF(AN19=21,L19,0)</f>
        <v>0</v>
      </c>
      <c r="AN19" s="55">
        <v>21</v>
      </c>
      <c r="AO19" s="55">
        <f>H19*0</f>
        <v>0</v>
      </c>
      <c r="AP19" s="55">
        <f>H19*(1-0)</f>
        <v>0</v>
      </c>
      <c r="AQ19" s="54" t="s">
        <v>152</v>
      </c>
      <c r="AV19" s="55">
        <f>ROUND(AW19+AX19,2)</f>
        <v>0</v>
      </c>
      <c r="AW19" s="55">
        <f>ROUND(G19*AO19,2)</f>
        <v>0</v>
      </c>
      <c r="AX19" s="55">
        <f>ROUND(G19*AP19,2)</f>
        <v>0</v>
      </c>
      <c r="AY19" s="54" t="s">
        <v>512</v>
      </c>
      <c r="AZ19" s="54" t="s">
        <v>498</v>
      </c>
      <c r="BA19" s="75" t="s">
        <v>499</v>
      </c>
      <c r="BC19" s="55">
        <f>AW19+AX19</f>
        <v>0</v>
      </c>
      <c r="BD19" s="55">
        <f>H19/(100-BE19)*100</f>
        <v>0</v>
      </c>
      <c r="BE19" s="55">
        <v>0</v>
      </c>
      <c r="BF19" s="55">
        <f>O19</f>
        <v>0</v>
      </c>
      <c r="BH19" s="55">
        <f>G19*AO19</f>
        <v>0</v>
      </c>
      <c r="BI19" s="55">
        <f>G19*AP19</f>
        <v>0</v>
      </c>
      <c r="BJ19" s="55">
        <f>G19*H19</f>
        <v>0</v>
      </c>
      <c r="BK19" s="54" t="s">
        <v>161</v>
      </c>
      <c r="BL19" s="55">
        <v>12</v>
      </c>
      <c r="BW19" s="55">
        <f>I19</f>
        <v>21</v>
      </c>
      <c r="BX19" s="16" t="s">
        <v>511</v>
      </c>
    </row>
    <row r="20" spans="1:76" ht="15" customHeight="1" x14ac:dyDescent="0.3">
      <c r="A20" s="88"/>
      <c r="B20" s="89" t="s">
        <v>108</v>
      </c>
      <c r="C20" s="89" t="s">
        <v>223</v>
      </c>
      <c r="D20" s="198" t="s">
        <v>474</v>
      </c>
      <c r="E20" s="198"/>
      <c r="F20" s="88" t="s">
        <v>96</v>
      </c>
      <c r="G20" s="90" t="s">
        <v>96</v>
      </c>
      <c r="H20" s="88" t="s">
        <v>96</v>
      </c>
      <c r="I20" s="88" t="s">
        <v>96</v>
      </c>
      <c r="J20" s="91">
        <f>SUM(J21:J26)</f>
        <v>0</v>
      </c>
      <c r="K20" s="91">
        <f>SUM(K21:K26)</f>
        <v>0</v>
      </c>
      <c r="L20" s="91">
        <f>SUM(L21:L26)</f>
        <v>0</v>
      </c>
      <c r="M20" s="91">
        <f>SUM(M21:M26)</f>
        <v>0</v>
      </c>
      <c r="N20" s="92"/>
      <c r="O20" s="91">
        <f>SUM(O21:O26)</f>
        <v>0</v>
      </c>
      <c r="P20" s="92"/>
      <c r="AI20" s="75" t="s">
        <v>108</v>
      </c>
      <c r="AS20" s="68">
        <f>SUM(AJ21:AJ26)</f>
        <v>0</v>
      </c>
      <c r="AT20" s="68">
        <f>SUM(AK21:AK26)</f>
        <v>0</v>
      </c>
      <c r="AU20" s="68">
        <f>SUM(AL21:AL26)</f>
        <v>0</v>
      </c>
    </row>
    <row r="21" spans="1:76" ht="15" customHeight="1" x14ac:dyDescent="0.3">
      <c r="A21" s="94" t="s">
        <v>182</v>
      </c>
      <c r="B21" s="94" t="s">
        <v>108</v>
      </c>
      <c r="C21" s="94" t="s">
        <v>476</v>
      </c>
      <c r="D21" s="199" t="s">
        <v>477</v>
      </c>
      <c r="E21" s="199"/>
      <c r="F21" s="94" t="s">
        <v>366</v>
      </c>
      <c r="G21" s="96">
        <f>'Stavební rozpočet'!G143</f>
        <v>73.59</v>
      </c>
      <c r="H21" s="97">
        <f>'Stavební rozpočet'!H143</f>
        <v>0</v>
      </c>
      <c r="I21" s="98">
        <v>21</v>
      </c>
      <c r="J21" s="97">
        <f t="shared" ref="J21:J26" si="0">ROUND(G21*AO21,2)</f>
        <v>0</v>
      </c>
      <c r="K21" s="97">
        <f t="shared" ref="K21:K26" si="1">ROUND(G21*AP21,2)</f>
        <v>0</v>
      </c>
      <c r="L21" s="97">
        <f t="shared" ref="L21:L26" si="2">ROUND(G21*H21,2)</f>
        <v>0</v>
      </c>
      <c r="M21" s="97">
        <f t="shared" ref="M21:M26" si="3">L21*(1+BW21/100)</f>
        <v>0</v>
      </c>
      <c r="N21" s="97">
        <f>'Stavební rozpočet'!N143</f>
        <v>0</v>
      </c>
      <c r="O21" s="97">
        <f t="shared" ref="O21:O26" si="4">G21*N21</f>
        <v>0</v>
      </c>
      <c r="P21" s="99" t="s">
        <v>156</v>
      </c>
      <c r="Z21" s="55">
        <f t="shared" ref="Z21:Z26" si="5">ROUND(IF(AQ21="5",BJ21,0),2)</f>
        <v>0</v>
      </c>
      <c r="AB21" s="55">
        <f t="shared" ref="AB21:AB26" si="6">ROUND(IF(AQ21="1",BH21,0),2)</f>
        <v>0</v>
      </c>
      <c r="AC21" s="55">
        <f t="shared" ref="AC21:AC26" si="7">ROUND(IF(AQ21="1",BI21,0),2)</f>
        <v>0</v>
      </c>
      <c r="AD21" s="55">
        <f t="shared" ref="AD21:AD26" si="8">ROUND(IF(AQ21="7",BH21,0),2)</f>
        <v>0</v>
      </c>
      <c r="AE21" s="55">
        <f t="shared" ref="AE21:AE26" si="9">ROUND(IF(AQ21="7",BI21,0),2)</f>
        <v>0</v>
      </c>
      <c r="AF21" s="55">
        <f t="shared" ref="AF21:AF26" si="10">ROUND(IF(AQ21="2",BH21,0),2)</f>
        <v>0</v>
      </c>
      <c r="AG21" s="55">
        <f t="shared" ref="AG21:AG26" si="11">ROUND(IF(AQ21="2",BI21,0),2)</f>
        <v>0</v>
      </c>
      <c r="AH21" s="55">
        <f t="shared" ref="AH21:AH26" si="12">ROUND(IF(AQ21="0",BJ21,0),2)</f>
        <v>0</v>
      </c>
      <c r="AI21" s="75" t="s">
        <v>108</v>
      </c>
      <c r="AJ21" s="55">
        <f t="shared" ref="AJ21:AJ26" si="13">IF(AN21=0,L21,0)</f>
        <v>0</v>
      </c>
      <c r="AK21" s="55">
        <f t="shared" ref="AK21:AK26" si="14">IF(AN21=12,L21,0)</f>
        <v>0</v>
      </c>
      <c r="AL21" s="55">
        <f t="shared" ref="AL21:AL26" si="15">IF(AN21=21,L21,0)</f>
        <v>0</v>
      </c>
      <c r="AN21" s="55">
        <v>21</v>
      </c>
      <c r="AO21" s="55">
        <f t="shared" ref="AO21:AO26" si="16">H21*0</f>
        <v>0</v>
      </c>
      <c r="AP21" s="55">
        <f t="shared" ref="AP21:AP26" si="17">H21*(1-0)</f>
        <v>0</v>
      </c>
      <c r="AQ21" s="54" t="s">
        <v>152</v>
      </c>
      <c r="AV21" s="55">
        <f t="shared" ref="AV21:AV26" si="18">ROUND(AW21+AX21,2)</f>
        <v>0</v>
      </c>
      <c r="AW21" s="55">
        <f t="shared" ref="AW21:AW26" si="19">ROUND(G21*AO21,2)</f>
        <v>0</v>
      </c>
      <c r="AX21" s="55">
        <f t="shared" ref="AX21:AX26" si="20">ROUND(G21*AP21,2)</f>
        <v>0</v>
      </c>
      <c r="AY21" s="54" t="s">
        <v>478</v>
      </c>
      <c r="AZ21" s="54" t="s">
        <v>498</v>
      </c>
      <c r="BA21" s="75" t="s">
        <v>499</v>
      </c>
      <c r="BC21" s="55">
        <f t="shared" ref="BC21:BC26" si="21">AW21+AX21</f>
        <v>0</v>
      </c>
      <c r="BD21" s="55">
        <f t="shared" ref="BD21:BD26" si="22">H21/(100-BE21)*100</f>
        <v>0</v>
      </c>
      <c r="BE21" s="55">
        <v>0</v>
      </c>
      <c r="BF21" s="55">
        <f t="shared" ref="BF21:BF26" si="23">O21</f>
        <v>0</v>
      </c>
      <c r="BH21" s="55">
        <f t="shared" ref="BH21:BH26" si="24">G21*AO21</f>
        <v>0</v>
      </c>
      <c r="BI21" s="55">
        <f t="shared" ref="BI21:BI26" si="25">G21*AP21</f>
        <v>0</v>
      </c>
      <c r="BJ21" s="55">
        <f t="shared" ref="BJ21:BJ26" si="26">G21*H21</f>
        <v>0</v>
      </c>
      <c r="BK21" s="54" t="s">
        <v>161</v>
      </c>
      <c r="BL21" s="55">
        <v>16</v>
      </c>
      <c r="BW21" s="55">
        <f t="shared" ref="BW21:BW26" si="27">I21</f>
        <v>21</v>
      </c>
      <c r="BX21" s="16" t="s">
        <v>477</v>
      </c>
    </row>
    <row r="22" spans="1:76" ht="15" customHeight="1" x14ac:dyDescent="0.3">
      <c r="A22" s="94" t="s">
        <v>157</v>
      </c>
      <c r="B22" s="94" t="s">
        <v>108</v>
      </c>
      <c r="C22" s="94" t="s">
        <v>480</v>
      </c>
      <c r="D22" s="199" t="s">
        <v>481</v>
      </c>
      <c r="E22" s="199"/>
      <c r="F22" s="94" t="s">
        <v>366</v>
      </c>
      <c r="G22" s="96">
        <f>'Stavební rozpočet'!G144</f>
        <v>588.72</v>
      </c>
      <c r="H22" s="97">
        <f>'Stavební rozpočet'!H144</f>
        <v>0</v>
      </c>
      <c r="I22" s="98">
        <v>21</v>
      </c>
      <c r="J22" s="97">
        <f t="shared" si="0"/>
        <v>0</v>
      </c>
      <c r="K22" s="97">
        <f t="shared" si="1"/>
        <v>0</v>
      </c>
      <c r="L22" s="97">
        <f t="shared" si="2"/>
        <v>0</v>
      </c>
      <c r="M22" s="97">
        <f t="shared" si="3"/>
        <v>0</v>
      </c>
      <c r="N22" s="97">
        <f>'Stavební rozpočet'!N144</f>
        <v>0</v>
      </c>
      <c r="O22" s="97">
        <f t="shared" si="4"/>
        <v>0</v>
      </c>
      <c r="P22" s="99" t="s">
        <v>156</v>
      </c>
      <c r="Z22" s="55">
        <f t="shared" si="5"/>
        <v>0</v>
      </c>
      <c r="AB22" s="55">
        <f t="shared" si="6"/>
        <v>0</v>
      </c>
      <c r="AC22" s="55">
        <f t="shared" si="7"/>
        <v>0</v>
      </c>
      <c r="AD22" s="55">
        <f t="shared" si="8"/>
        <v>0</v>
      </c>
      <c r="AE22" s="55">
        <f t="shared" si="9"/>
        <v>0</v>
      </c>
      <c r="AF22" s="55">
        <f t="shared" si="10"/>
        <v>0</v>
      </c>
      <c r="AG22" s="55">
        <f t="shared" si="11"/>
        <v>0</v>
      </c>
      <c r="AH22" s="55">
        <f t="shared" si="12"/>
        <v>0</v>
      </c>
      <c r="AI22" s="75" t="s">
        <v>108</v>
      </c>
      <c r="AJ22" s="55">
        <f t="shared" si="13"/>
        <v>0</v>
      </c>
      <c r="AK22" s="55">
        <f t="shared" si="14"/>
        <v>0</v>
      </c>
      <c r="AL22" s="55">
        <f t="shared" si="15"/>
        <v>0</v>
      </c>
      <c r="AN22" s="55">
        <v>21</v>
      </c>
      <c r="AO22" s="55">
        <f t="shared" si="16"/>
        <v>0</v>
      </c>
      <c r="AP22" s="55">
        <f t="shared" si="17"/>
        <v>0</v>
      </c>
      <c r="AQ22" s="54" t="s">
        <v>152</v>
      </c>
      <c r="AV22" s="55">
        <f t="shared" si="18"/>
        <v>0</v>
      </c>
      <c r="AW22" s="55">
        <f t="shared" si="19"/>
        <v>0</v>
      </c>
      <c r="AX22" s="55">
        <f t="shared" si="20"/>
        <v>0</v>
      </c>
      <c r="AY22" s="54" t="s">
        <v>478</v>
      </c>
      <c r="AZ22" s="54" t="s">
        <v>498</v>
      </c>
      <c r="BA22" s="75" t="s">
        <v>499</v>
      </c>
      <c r="BC22" s="55">
        <f t="shared" si="21"/>
        <v>0</v>
      </c>
      <c r="BD22" s="55">
        <f t="shared" si="22"/>
        <v>0</v>
      </c>
      <c r="BE22" s="55">
        <v>0</v>
      </c>
      <c r="BF22" s="55">
        <f t="shared" si="23"/>
        <v>0</v>
      </c>
      <c r="BH22" s="55">
        <f t="shared" si="24"/>
        <v>0</v>
      </c>
      <c r="BI22" s="55">
        <f t="shared" si="25"/>
        <v>0</v>
      </c>
      <c r="BJ22" s="55">
        <f t="shared" si="26"/>
        <v>0</v>
      </c>
      <c r="BK22" s="54" t="s">
        <v>161</v>
      </c>
      <c r="BL22" s="55">
        <v>16</v>
      </c>
      <c r="BW22" s="55">
        <f t="shared" si="27"/>
        <v>21</v>
      </c>
      <c r="BX22" s="16" t="s">
        <v>481</v>
      </c>
    </row>
    <row r="23" spans="1:76" ht="15" customHeight="1" x14ac:dyDescent="0.3">
      <c r="A23" s="94" t="s">
        <v>190</v>
      </c>
      <c r="B23" s="94" t="s">
        <v>108</v>
      </c>
      <c r="C23" s="94" t="s">
        <v>476</v>
      </c>
      <c r="D23" s="199" t="s">
        <v>477</v>
      </c>
      <c r="E23" s="199"/>
      <c r="F23" s="94" t="s">
        <v>366</v>
      </c>
      <c r="G23" s="96">
        <f>'Stavební rozpočet'!G145</f>
        <v>270.77800000000002</v>
      </c>
      <c r="H23" s="97">
        <f>'Stavební rozpočet'!H145</f>
        <v>0</v>
      </c>
      <c r="I23" s="98">
        <v>21</v>
      </c>
      <c r="J23" s="97">
        <f t="shared" si="0"/>
        <v>0</v>
      </c>
      <c r="K23" s="97">
        <f t="shared" si="1"/>
        <v>0</v>
      </c>
      <c r="L23" s="97">
        <f t="shared" si="2"/>
        <v>0</v>
      </c>
      <c r="M23" s="97">
        <f t="shared" si="3"/>
        <v>0</v>
      </c>
      <c r="N23" s="97">
        <f>'Stavební rozpočet'!N145</f>
        <v>0</v>
      </c>
      <c r="O23" s="97">
        <f t="shared" si="4"/>
        <v>0</v>
      </c>
      <c r="P23" s="99" t="s">
        <v>156</v>
      </c>
      <c r="Z23" s="55">
        <f t="shared" si="5"/>
        <v>0</v>
      </c>
      <c r="AB23" s="55">
        <f t="shared" si="6"/>
        <v>0</v>
      </c>
      <c r="AC23" s="55">
        <f t="shared" si="7"/>
        <v>0</v>
      </c>
      <c r="AD23" s="55">
        <f t="shared" si="8"/>
        <v>0</v>
      </c>
      <c r="AE23" s="55">
        <f t="shared" si="9"/>
        <v>0</v>
      </c>
      <c r="AF23" s="55">
        <f t="shared" si="10"/>
        <v>0</v>
      </c>
      <c r="AG23" s="55">
        <f t="shared" si="11"/>
        <v>0</v>
      </c>
      <c r="AH23" s="55">
        <f t="shared" si="12"/>
        <v>0</v>
      </c>
      <c r="AI23" s="75" t="s">
        <v>108</v>
      </c>
      <c r="AJ23" s="55">
        <f t="shared" si="13"/>
        <v>0</v>
      </c>
      <c r="AK23" s="55">
        <f t="shared" si="14"/>
        <v>0</v>
      </c>
      <c r="AL23" s="55">
        <f t="shared" si="15"/>
        <v>0</v>
      </c>
      <c r="AN23" s="55">
        <v>21</v>
      </c>
      <c r="AO23" s="55">
        <f t="shared" si="16"/>
        <v>0</v>
      </c>
      <c r="AP23" s="55">
        <f t="shared" si="17"/>
        <v>0</v>
      </c>
      <c r="AQ23" s="54" t="s">
        <v>152</v>
      </c>
      <c r="AV23" s="55">
        <f t="shared" si="18"/>
        <v>0</v>
      </c>
      <c r="AW23" s="55">
        <f t="shared" si="19"/>
        <v>0</v>
      </c>
      <c r="AX23" s="55">
        <f t="shared" si="20"/>
        <v>0</v>
      </c>
      <c r="AY23" s="54" t="s">
        <v>478</v>
      </c>
      <c r="AZ23" s="54" t="s">
        <v>498</v>
      </c>
      <c r="BA23" s="75" t="s">
        <v>499</v>
      </c>
      <c r="BC23" s="55">
        <f t="shared" si="21"/>
        <v>0</v>
      </c>
      <c r="BD23" s="55">
        <f t="shared" si="22"/>
        <v>0</v>
      </c>
      <c r="BE23" s="55">
        <v>0</v>
      </c>
      <c r="BF23" s="55">
        <f t="shared" si="23"/>
        <v>0</v>
      </c>
      <c r="BH23" s="55">
        <f t="shared" si="24"/>
        <v>0</v>
      </c>
      <c r="BI23" s="55">
        <f t="shared" si="25"/>
        <v>0</v>
      </c>
      <c r="BJ23" s="55">
        <f t="shared" si="26"/>
        <v>0</v>
      </c>
      <c r="BK23" s="54" t="s">
        <v>161</v>
      </c>
      <c r="BL23" s="55">
        <v>16</v>
      </c>
      <c r="BW23" s="55">
        <f t="shared" si="27"/>
        <v>21</v>
      </c>
      <c r="BX23" s="16" t="s">
        <v>477</v>
      </c>
    </row>
    <row r="24" spans="1:76" ht="15" customHeight="1" x14ac:dyDescent="0.3">
      <c r="A24" s="94" t="s">
        <v>195</v>
      </c>
      <c r="B24" s="94" t="s">
        <v>108</v>
      </c>
      <c r="C24" s="94" t="s">
        <v>480</v>
      </c>
      <c r="D24" s="199" t="s">
        <v>481</v>
      </c>
      <c r="E24" s="199"/>
      <c r="F24" s="94" t="s">
        <v>366</v>
      </c>
      <c r="G24" s="96">
        <f>'Stavební rozpočet'!G146</f>
        <v>2707.78</v>
      </c>
      <c r="H24" s="97">
        <f>'Stavební rozpočet'!H146</f>
        <v>0</v>
      </c>
      <c r="I24" s="98">
        <v>21</v>
      </c>
      <c r="J24" s="97">
        <f t="shared" si="0"/>
        <v>0</v>
      </c>
      <c r="K24" s="97">
        <f t="shared" si="1"/>
        <v>0</v>
      </c>
      <c r="L24" s="97">
        <f t="shared" si="2"/>
        <v>0</v>
      </c>
      <c r="M24" s="97">
        <f t="shared" si="3"/>
        <v>0</v>
      </c>
      <c r="N24" s="97">
        <f>'Stavební rozpočet'!N146</f>
        <v>0</v>
      </c>
      <c r="O24" s="97">
        <f t="shared" si="4"/>
        <v>0</v>
      </c>
      <c r="P24" s="99" t="s">
        <v>156</v>
      </c>
      <c r="Z24" s="55">
        <f t="shared" si="5"/>
        <v>0</v>
      </c>
      <c r="AB24" s="55">
        <f t="shared" si="6"/>
        <v>0</v>
      </c>
      <c r="AC24" s="55">
        <f t="shared" si="7"/>
        <v>0</v>
      </c>
      <c r="AD24" s="55">
        <f t="shared" si="8"/>
        <v>0</v>
      </c>
      <c r="AE24" s="55">
        <f t="shared" si="9"/>
        <v>0</v>
      </c>
      <c r="AF24" s="55">
        <f t="shared" si="10"/>
        <v>0</v>
      </c>
      <c r="AG24" s="55">
        <f t="shared" si="11"/>
        <v>0</v>
      </c>
      <c r="AH24" s="55">
        <f t="shared" si="12"/>
        <v>0</v>
      </c>
      <c r="AI24" s="75" t="s">
        <v>108</v>
      </c>
      <c r="AJ24" s="55">
        <f t="shared" si="13"/>
        <v>0</v>
      </c>
      <c r="AK24" s="55">
        <f t="shared" si="14"/>
        <v>0</v>
      </c>
      <c r="AL24" s="55">
        <f t="shared" si="15"/>
        <v>0</v>
      </c>
      <c r="AN24" s="55">
        <v>21</v>
      </c>
      <c r="AO24" s="55">
        <f t="shared" si="16"/>
        <v>0</v>
      </c>
      <c r="AP24" s="55">
        <f t="shared" si="17"/>
        <v>0</v>
      </c>
      <c r="AQ24" s="54" t="s">
        <v>152</v>
      </c>
      <c r="AV24" s="55">
        <f t="shared" si="18"/>
        <v>0</v>
      </c>
      <c r="AW24" s="55">
        <f t="shared" si="19"/>
        <v>0</v>
      </c>
      <c r="AX24" s="55">
        <f t="shared" si="20"/>
        <v>0</v>
      </c>
      <c r="AY24" s="54" t="s">
        <v>478</v>
      </c>
      <c r="AZ24" s="54" t="s">
        <v>498</v>
      </c>
      <c r="BA24" s="75" t="s">
        <v>499</v>
      </c>
      <c r="BC24" s="55">
        <f t="shared" si="21"/>
        <v>0</v>
      </c>
      <c r="BD24" s="55">
        <f t="shared" si="22"/>
        <v>0</v>
      </c>
      <c r="BE24" s="55">
        <v>0</v>
      </c>
      <c r="BF24" s="55">
        <f t="shared" si="23"/>
        <v>0</v>
      </c>
      <c r="BH24" s="55">
        <f t="shared" si="24"/>
        <v>0</v>
      </c>
      <c r="BI24" s="55">
        <f t="shared" si="25"/>
        <v>0</v>
      </c>
      <c r="BJ24" s="55">
        <f t="shared" si="26"/>
        <v>0</v>
      </c>
      <c r="BK24" s="54" t="s">
        <v>161</v>
      </c>
      <c r="BL24" s="55">
        <v>16</v>
      </c>
      <c r="BW24" s="55">
        <f t="shared" si="27"/>
        <v>21</v>
      </c>
      <c r="BX24" s="16" t="s">
        <v>481</v>
      </c>
    </row>
    <row r="25" spans="1:76" ht="15" customHeight="1" x14ac:dyDescent="0.3">
      <c r="A25" s="94" t="s">
        <v>200</v>
      </c>
      <c r="B25" s="94" t="s">
        <v>108</v>
      </c>
      <c r="C25" s="94" t="s">
        <v>476</v>
      </c>
      <c r="D25" s="199" t="s">
        <v>477</v>
      </c>
      <c r="E25" s="199"/>
      <c r="F25" s="94" t="s">
        <v>366</v>
      </c>
      <c r="G25" s="96">
        <f>'Stavební rozpočet'!G147</f>
        <v>24.8</v>
      </c>
      <c r="H25" s="97">
        <f>'Stavební rozpočet'!H147</f>
        <v>0</v>
      </c>
      <c r="I25" s="98">
        <v>21</v>
      </c>
      <c r="J25" s="97">
        <f t="shared" si="0"/>
        <v>0</v>
      </c>
      <c r="K25" s="97">
        <f t="shared" si="1"/>
        <v>0</v>
      </c>
      <c r="L25" s="97">
        <f t="shared" si="2"/>
        <v>0</v>
      </c>
      <c r="M25" s="97">
        <f t="shared" si="3"/>
        <v>0</v>
      </c>
      <c r="N25" s="97">
        <f>'Stavební rozpočet'!N147</f>
        <v>0</v>
      </c>
      <c r="O25" s="97">
        <f t="shared" si="4"/>
        <v>0</v>
      </c>
      <c r="P25" s="99" t="s">
        <v>156</v>
      </c>
      <c r="Z25" s="55">
        <f t="shared" si="5"/>
        <v>0</v>
      </c>
      <c r="AB25" s="55">
        <f t="shared" si="6"/>
        <v>0</v>
      </c>
      <c r="AC25" s="55">
        <f t="shared" si="7"/>
        <v>0</v>
      </c>
      <c r="AD25" s="55">
        <f t="shared" si="8"/>
        <v>0</v>
      </c>
      <c r="AE25" s="55">
        <f t="shared" si="9"/>
        <v>0</v>
      </c>
      <c r="AF25" s="55">
        <f t="shared" si="10"/>
        <v>0</v>
      </c>
      <c r="AG25" s="55">
        <f t="shared" si="11"/>
        <v>0</v>
      </c>
      <c r="AH25" s="55">
        <f t="shared" si="12"/>
        <v>0</v>
      </c>
      <c r="AI25" s="75" t="s">
        <v>108</v>
      </c>
      <c r="AJ25" s="55">
        <f t="shared" si="13"/>
        <v>0</v>
      </c>
      <c r="AK25" s="55">
        <f t="shared" si="14"/>
        <v>0</v>
      </c>
      <c r="AL25" s="55">
        <f t="shared" si="15"/>
        <v>0</v>
      </c>
      <c r="AN25" s="55">
        <v>21</v>
      </c>
      <c r="AO25" s="55">
        <f t="shared" si="16"/>
        <v>0</v>
      </c>
      <c r="AP25" s="55">
        <f t="shared" si="17"/>
        <v>0</v>
      </c>
      <c r="AQ25" s="54" t="s">
        <v>152</v>
      </c>
      <c r="AV25" s="55">
        <f t="shared" si="18"/>
        <v>0</v>
      </c>
      <c r="AW25" s="55">
        <f t="shared" si="19"/>
        <v>0</v>
      </c>
      <c r="AX25" s="55">
        <f t="shared" si="20"/>
        <v>0</v>
      </c>
      <c r="AY25" s="54" t="s">
        <v>478</v>
      </c>
      <c r="AZ25" s="54" t="s">
        <v>498</v>
      </c>
      <c r="BA25" s="75" t="s">
        <v>499</v>
      </c>
      <c r="BC25" s="55">
        <f t="shared" si="21"/>
        <v>0</v>
      </c>
      <c r="BD25" s="55">
        <f t="shared" si="22"/>
        <v>0</v>
      </c>
      <c r="BE25" s="55">
        <v>0</v>
      </c>
      <c r="BF25" s="55">
        <f t="shared" si="23"/>
        <v>0</v>
      </c>
      <c r="BH25" s="55">
        <f t="shared" si="24"/>
        <v>0</v>
      </c>
      <c r="BI25" s="55">
        <f t="shared" si="25"/>
        <v>0</v>
      </c>
      <c r="BJ25" s="55">
        <f t="shared" si="26"/>
        <v>0</v>
      </c>
      <c r="BK25" s="54" t="s">
        <v>161</v>
      </c>
      <c r="BL25" s="55">
        <v>16</v>
      </c>
      <c r="BW25" s="55">
        <f t="shared" si="27"/>
        <v>21</v>
      </c>
      <c r="BX25" s="16" t="s">
        <v>477</v>
      </c>
    </row>
    <row r="26" spans="1:76" ht="15" customHeight="1" x14ac:dyDescent="0.3">
      <c r="A26" s="94" t="s">
        <v>203</v>
      </c>
      <c r="B26" s="94" t="s">
        <v>108</v>
      </c>
      <c r="C26" s="94" t="s">
        <v>480</v>
      </c>
      <c r="D26" s="199" t="s">
        <v>481</v>
      </c>
      <c r="E26" s="199"/>
      <c r="F26" s="94" t="s">
        <v>366</v>
      </c>
      <c r="G26" s="96">
        <f>'Stavební rozpočet'!G148</f>
        <v>248</v>
      </c>
      <c r="H26" s="97">
        <f>'Stavební rozpočet'!H148</f>
        <v>0</v>
      </c>
      <c r="I26" s="98">
        <v>21</v>
      </c>
      <c r="J26" s="97">
        <f t="shared" si="0"/>
        <v>0</v>
      </c>
      <c r="K26" s="97">
        <f t="shared" si="1"/>
        <v>0</v>
      </c>
      <c r="L26" s="97">
        <f t="shared" si="2"/>
        <v>0</v>
      </c>
      <c r="M26" s="97">
        <f t="shared" si="3"/>
        <v>0</v>
      </c>
      <c r="N26" s="97">
        <f>'Stavební rozpočet'!N148</f>
        <v>0</v>
      </c>
      <c r="O26" s="97">
        <f t="shared" si="4"/>
        <v>0</v>
      </c>
      <c r="P26" s="99" t="s">
        <v>156</v>
      </c>
      <c r="Z26" s="55">
        <f t="shared" si="5"/>
        <v>0</v>
      </c>
      <c r="AB26" s="55">
        <f t="shared" si="6"/>
        <v>0</v>
      </c>
      <c r="AC26" s="55">
        <f t="shared" si="7"/>
        <v>0</v>
      </c>
      <c r="AD26" s="55">
        <f t="shared" si="8"/>
        <v>0</v>
      </c>
      <c r="AE26" s="55">
        <f t="shared" si="9"/>
        <v>0</v>
      </c>
      <c r="AF26" s="55">
        <f t="shared" si="10"/>
        <v>0</v>
      </c>
      <c r="AG26" s="55">
        <f t="shared" si="11"/>
        <v>0</v>
      </c>
      <c r="AH26" s="55">
        <f t="shared" si="12"/>
        <v>0</v>
      </c>
      <c r="AI26" s="75" t="s">
        <v>108</v>
      </c>
      <c r="AJ26" s="55">
        <f t="shared" si="13"/>
        <v>0</v>
      </c>
      <c r="AK26" s="55">
        <f t="shared" si="14"/>
        <v>0</v>
      </c>
      <c r="AL26" s="55">
        <f t="shared" si="15"/>
        <v>0</v>
      </c>
      <c r="AN26" s="55">
        <v>21</v>
      </c>
      <c r="AO26" s="55">
        <f t="shared" si="16"/>
        <v>0</v>
      </c>
      <c r="AP26" s="55">
        <f t="shared" si="17"/>
        <v>0</v>
      </c>
      <c r="AQ26" s="54" t="s">
        <v>152</v>
      </c>
      <c r="AV26" s="55">
        <f t="shared" si="18"/>
        <v>0</v>
      </c>
      <c r="AW26" s="55">
        <f t="shared" si="19"/>
        <v>0</v>
      </c>
      <c r="AX26" s="55">
        <f t="shared" si="20"/>
        <v>0</v>
      </c>
      <c r="AY26" s="54" t="s">
        <v>478</v>
      </c>
      <c r="AZ26" s="54" t="s">
        <v>498</v>
      </c>
      <c r="BA26" s="75" t="s">
        <v>499</v>
      </c>
      <c r="BC26" s="55">
        <f t="shared" si="21"/>
        <v>0</v>
      </c>
      <c r="BD26" s="55">
        <f t="shared" si="22"/>
        <v>0</v>
      </c>
      <c r="BE26" s="55">
        <v>0</v>
      </c>
      <c r="BF26" s="55">
        <f t="shared" si="23"/>
        <v>0</v>
      </c>
      <c r="BH26" s="55">
        <f t="shared" si="24"/>
        <v>0</v>
      </c>
      <c r="BI26" s="55">
        <f t="shared" si="25"/>
        <v>0</v>
      </c>
      <c r="BJ26" s="55">
        <f t="shared" si="26"/>
        <v>0</v>
      </c>
      <c r="BK26" s="54" t="s">
        <v>161</v>
      </c>
      <c r="BL26" s="55">
        <v>16</v>
      </c>
      <c r="BW26" s="55">
        <f t="shared" si="27"/>
        <v>21</v>
      </c>
      <c r="BX26" s="16" t="s">
        <v>481</v>
      </c>
    </row>
    <row r="27" spans="1:76" ht="15" customHeight="1" x14ac:dyDescent="0.3">
      <c r="A27" s="88"/>
      <c r="B27" s="89" t="s">
        <v>108</v>
      </c>
      <c r="C27" s="89" t="s">
        <v>228</v>
      </c>
      <c r="D27" s="198" t="s">
        <v>482</v>
      </c>
      <c r="E27" s="198"/>
      <c r="F27" s="88" t="s">
        <v>96</v>
      </c>
      <c r="G27" s="90" t="s">
        <v>96</v>
      </c>
      <c r="H27" s="88" t="s">
        <v>96</v>
      </c>
      <c r="I27" s="88" t="s">
        <v>96</v>
      </c>
      <c r="J27" s="91">
        <f>SUM(J28:J29)</f>
        <v>0</v>
      </c>
      <c r="K27" s="91">
        <f>SUM(K28:K29)</f>
        <v>0</v>
      </c>
      <c r="L27" s="91">
        <f>SUM(L28:L29)</f>
        <v>0</v>
      </c>
      <c r="M27" s="91">
        <f>SUM(M28:M29)</f>
        <v>0</v>
      </c>
      <c r="N27" s="92"/>
      <c r="O27" s="91">
        <f>SUM(O28:O29)</f>
        <v>39.68</v>
      </c>
      <c r="P27" s="92"/>
      <c r="AI27" s="75" t="s">
        <v>108</v>
      </c>
      <c r="AS27" s="68">
        <f>SUM(AJ28:AJ29)</f>
        <v>0</v>
      </c>
      <c r="AT27" s="68">
        <f>SUM(AK28:AK29)</f>
        <v>0</v>
      </c>
      <c r="AU27" s="68">
        <f>SUM(AL28:AL29)</f>
        <v>0</v>
      </c>
    </row>
    <row r="28" spans="1:76" ht="24" customHeight="1" x14ac:dyDescent="0.3">
      <c r="A28" s="94" t="s">
        <v>206</v>
      </c>
      <c r="B28" s="94" t="s">
        <v>108</v>
      </c>
      <c r="C28" s="94" t="s">
        <v>484</v>
      </c>
      <c r="D28" s="199" t="s">
        <v>520</v>
      </c>
      <c r="E28" s="199"/>
      <c r="F28" s="94" t="s">
        <v>366</v>
      </c>
      <c r="G28" s="96">
        <f>'Stavební rozpočet'!G150</f>
        <v>24.8</v>
      </c>
      <c r="H28" s="97">
        <f>'Stavební rozpočet'!H150</f>
        <v>0</v>
      </c>
      <c r="I28" s="98">
        <v>21</v>
      </c>
      <c r="J28" s="97">
        <f>ROUND(G28*AO28,2)</f>
        <v>0</v>
      </c>
      <c r="K28" s="97">
        <f>ROUND(G28*AP28,2)</f>
        <v>0</v>
      </c>
      <c r="L28" s="97">
        <f>ROUND(G28*H28,2)</f>
        <v>0</v>
      </c>
      <c r="M28" s="97">
        <f>L28*(1+BW28/100)</f>
        <v>0</v>
      </c>
      <c r="N28" s="97">
        <f>'Stavební rozpočet'!N150</f>
        <v>0</v>
      </c>
      <c r="O28" s="97">
        <f>G28*N28</f>
        <v>0</v>
      </c>
      <c r="P28" s="99" t="s">
        <v>156</v>
      </c>
      <c r="Z28" s="55">
        <f>ROUND(IF(AQ28="5",BJ28,0),2)</f>
        <v>0</v>
      </c>
      <c r="AB28" s="55">
        <f>ROUND(IF(AQ28="1",BH28,0),2)</f>
        <v>0</v>
      </c>
      <c r="AC28" s="55">
        <f>ROUND(IF(AQ28="1",BI28,0),2)</f>
        <v>0</v>
      </c>
      <c r="AD28" s="55">
        <f>ROUND(IF(AQ28="7",BH28,0),2)</f>
        <v>0</v>
      </c>
      <c r="AE28" s="55">
        <f>ROUND(IF(AQ28="7",BI28,0),2)</f>
        <v>0</v>
      </c>
      <c r="AF28" s="55">
        <f>ROUND(IF(AQ28="2",BH28,0),2)</f>
        <v>0</v>
      </c>
      <c r="AG28" s="55">
        <f>ROUND(IF(AQ28="2",BI28,0),2)</f>
        <v>0</v>
      </c>
      <c r="AH28" s="55">
        <f>ROUND(IF(AQ28="0",BJ28,0),2)</f>
        <v>0</v>
      </c>
      <c r="AI28" s="75" t="s">
        <v>108</v>
      </c>
      <c r="AJ28" s="55">
        <f>IF(AN28=0,L28,0)</f>
        <v>0</v>
      </c>
      <c r="AK28" s="55">
        <f>IF(AN28=12,L28,0)</f>
        <v>0</v>
      </c>
      <c r="AL28" s="55">
        <f>IF(AN28=21,L28,0)</f>
        <v>0</v>
      </c>
      <c r="AN28" s="55">
        <v>21</v>
      </c>
      <c r="AO28" s="55">
        <f>H28*0</f>
        <v>0</v>
      </c>
      <c r="AP28" s="55">
        <f>H28*(1-0)</f>
        <v>0</v>
      </c>
      <c r="AQ28" s="54" t="s">
        <v>152</v>
      </c>
      <c r="AV28" s="55">
        <f>ROUND(AW28+AX28,2)</f>
        <v>0</v>
      </c>
      <c r="AW28" s="55">
        <f>ROUND(G28*AO28,2)</f>
        <v>0</v>
      </c>
      <c r="AX28" s="55">
        <f>ROUND(G28*AP28,2)</f>
        <v>0</v>
      </c>
      <c r="AY28" s="54" t="s">
        <v>486</v>
      </c>
      <c r="AZ28" s="54" t="s">
        <v>498</v>
      </c>
      <c r="BA28" s="75" t="s">
        <v>499</v>
      </c>
      <c r="BC28" s="55">
        <f>AW28+AX28</f>
        <v>0</v>
      </c>
      <c r="BD28" s="55">
        <f>H28/(100-BE28)*100</f>
        <v>0</v>
      </c>
      <c r="BE28" s="55">
        <v>0</v>
      </c>
      <c r="BF28" s="55">
        <f>O28</f>
        <v>0</v>
      </c>
      <c r="BH28" s="55">
        <f>G28*AO28</f>
        <v>0</v>
      </c>
      <c r="BI28" s="55">
        <f>G28*AP28</f>
        <v>0</v>
      </c>
      <c r="BJ28" s="55">
        <f>G28*H28</f>
        <v>0</v>
      </c>
      <c r="BK28" s="54" t="s">
        <v>161</v>
      </c>
      <c r="BL28" s="55">
        <v>17</v>
      </c>
      <c r="BW28" s="55">
        <f>I28</f>
        <v>21</v>
      </c>
      <c r="BX28" s="16" t="s">
        <v>520</v>
      </c>
    </row>
    <row r="29" spans="1:76" ht="24" customHeight="1" x14ac:dyDescent="0.3">
      <c r="A29" s="105" t="s">
        <v>209</v>
      </c>
      <c r="B29" s="105" t="s">
        <v>108</v>
      </c>
      <c r="C29" s="105" t="s">
        <v>487</v>
      </c>
      <c r="D29" s="201" t="s">
        <v>522</v>
      </c>
      <c r="E29" s="201"/>
      <c r="F29" s="105" t="s">
        <v>323</v>
      </c>
      <c r="G29" s="107">
        <f>'Stavební rozpočet'!G151</f>
        <v>39.68</v>
      </c>
      <c r="H29" s="108">
        <f>'Stavební rozpočet'!H151</f>
        <v>0</v>
      </c>
      <c r="I29" s="109">
        <v>21</v>
      </c>
      <c r="J29" s="108">
        <f>ROUND(G29*AO29,2)</f>
        <v>0</v>
      </c>
      <c r="K29" s="108">
        <f>ROUND(G29*AP29,2)</f>
        <v>0</v>
      </c>
      <c r="L29" s="108">
        <f>ROUND(G29*H29,2)</f>
        <v>0</v>
      </c>
      <c r="M29" s="108">
        <f>L29*(1+BW29/100)</f>
        <v>0</v>
      </c>
      <c r="N29" s="108">
        <f>'Stavební rozpočet'!N151</f>
        <v>1</v>
      </c>
      <c r="O29" s="108">
        <f>G29*N29</f>
        <v>39.68</v>
      </c>
      <c r="P29" s="110" t="s">
        <v>156</v>
      </c>
      <c r="Z29" s="55">
        <f>ROUND(IF(AQ29="5",BJ29,0),2)</f>
        <v>0</v>
      </c>
      <c r="AB29" s="55">
        <f>ROUND(IF(AQ29="1",BH29,0),2)</f>
        <v>0</v>
      </c>
      <c r="AC29" s="55">
        <f>ROUND(IF(AQ29="1",BI29,0),2)</f>
        <v>0</v>
      </c>
      <c r="AD29" s="55">
        <f>ROUND(IF(AQ29="7",BH29,0),2)</f>
        <v>0</v>
      </c>
      <c r="AE29" s="55">
        <f>ROUND(IF(AQ29="7",BI29,0),2)</f>
        <v>0</v>
      </c>
      <c r="AF29" s="55">
        <f>ROUND(IF(AQ29="2",BH29,0),2)</f>
        <v>0</v>
      </c>
      <c r="AG29" s="55">
        <f>ROUND(IF(AQ29="2",BI29,0),2)</f>
        <v>0</v>
      </c>
      <c r="AH29" s="55">
        <f>ROUND(IF(AQ29="0",BJ29,0),2)</f>
        <v>0</v>
      </c>
      <c r="AI29" s="75" t="s">
        <v>108</v>
      </c>
      <c r="AJ29" s="111">
        <f>IF(AN29=0,L29,0)</f>
        <v>0</v>
      </c>
      <c r="AK29" s="111">
        <f>IF(AN29=12,L29,0)</f>
        <v>0</v>
      </c>
      <c r="AL29" s="111">
        <f>IF(AN29=21,L29,0)</f>
        <v>0</v>
      </c>
      <c r="AN29" s="55">
        <v>21</v>
      </c>
      <c r="AO29" s="55">
        <f>H29*1</f>
        <v>0</v>
      </c>
      <c r="AP29" s="55">
        <f>H29*(1-1)</f>
        <v>0</v>
      </c>
      <c r="AQ29" s="112" t="s">
        <v>152</v>
      </c>
      <c r="AV29" s="55">
        <f>ROUND(AW29+AX29,2)</f>
        <v>0</v>
      </c>
      <c r="AW29" s="55">
        <f>ROUND(G29*AO29,2)</f>
        <v>0</v>
      </c>
      <c r="AX29" s="55">
        <f>ROUND(G29*AP29,2)</f>
        <v>0</v>
      </c>
      <c r="AY29" s="54" t="s">
        <v>486</v>
      </c>
      <c r="AZ29" s="54" t="s">
        <v>498</v>
      </c>
      <c r="BA29" s="75" t="s">
        <v>499</v>
      </c>
      <c r="BC29" s="55">
        <f>AW29+AX29</f>
        <v>0</v>
      </c>
      <c r="BD29" s="55">
        <f>H29/(100-BE29)*100</f>
        <v>0</v>
      </c>
      <c r="BE29" s="55">
        <v>0</v>
      </c>
      <c r="BF29" s="55">
        <f>O29</f>
        <v>39.68</v>
      </c>
      <c r="BH29" s="111">
        <f>G29*AO29</f>
        <v>0</v>
      </c>
      <c r="BI29" s="111">
        <f>G29*AP29</f>
        <v>0</v>
      </c>
      <c r="BJ29" s="111">
        <f>G29*H29</f>
        <v>0</v>
      </c>
      <c r="BK29" s="112" t="s">
        <v>489</v>
      </c>
      <c r="BL29" s="55">
        <v>17</v>
      </c>
      <c r="BW29" s="55">
        <f>I29</f>
        <v>21</v>
      </c>
      <c r="BX29" s="113" t="s">
        <v>522</v>
      </c>
    </row>
    <row r="30" spans="1:76" ht="15" customHeight="1" x14ac:dyDescent="0.3">
      <c r="A30" s="88"/>
      <c r="B30" s="89" t="s">
        <v>108</v>
      </c>
      <c r="C30" s="89" t="s">
        <v>234</v>
      </c>
      <c r="D30" s="198" t="s">
        <v>523</v>
      </c>
      <c r="E30" s="198"/>
      <c r="F30" s="88" t="s">
        <v>96</v>
      </c>
      <c r="G30" s="90" t="s">
        <v>96</v>
      </c>
      <c r="H30" s="88" t="s">
        <v>96</v>
      </c>
      <c r="I30" s="88" t="s">
        <v>96</v>
      </c>
      <c r="J30" s="91">
        <f>SUM(J31:J33)</f>
        <v>0</v>
      </c>
      <c r="K30" s="91">
        <f>SUM(K31:K33)</f>
        <v>0</v>
      </c>
      <c r="L30" s="91">
        <f>SUM(L31:L33)</f>
        <v>0</v>
      </c>
      <c r="M30" s="91">
        <f>SUM(M31:M33)</f>
        <v>0</v>
      </c>
      <c r="N30" s="92"/>
      <c r="O30" s="91">
        <f>SUM(O31:O33)</f>
        <v>265.36799999999999</v>
      </c>
      <c r="P30" s="92"/>
      <c r="AI30" s="75" t="s">
        <v>108</v>
      </c>
      <c r="AS30" s="68">
        <f>SUM(AJ31:AJ33)</f>
        <v>0</v>
      </c>
      <c r="AT30" s="68">
        <f>SUM(AK31:AK33)</f>
        <v>0</v>
      </c>
      <c r="AU30" s="68">
        <f>SUM(AL31:AL33)</f>
        <v>0</v>
      </c>
    </row>
    <row r="31" spans="1:76" ht="15" customHeight="1" x14ac:dyDescent="0.3">
      <c r="A31" s="94" t="s">
        <v>213</v>
      </c>
      <c r="B31" s="94" t="s">
        <v>108</v>
      </c>
      <c r="C31" s="94" t="s">
        <v>525</v>
      </c>
      <c r="D31" s="199" t="s">
        <v>526</v>
      </c>
      <c r="E31" s="199"/>
      <c r="F31" s="94" t="s">
        <v>155</v>
      </c>
      <c r="G31" s="96">
        <f>'Stavební rozpočet'!G153</f>
        <v>376.94400000000002</v>
      </c>
      <c r="H31" s="97">
        <f>'Stavební rozpočet'!H153</f>
        <v>0</v>
      </c>
      <c r="I31" s="98">
        <v>21</v>
      </c>
      <c r="J31" s="97">
        <f>ROUND(G31*AO31,2)</f>
        <v>0</v>
      </c>
      <c r="K31" s="97">
        <f>ROUND(G31*AP31,2)</f>
        <v>0</v>
      </c>
      <c r="L31" s="97">
        <f>ROUND(G31*H31,2)</f>
        <v>0</v>
      </c>
      <c r="M31" s="97">
        <f>L31*(1+BW31/100)</f>
        <v>0</v>
      </c>
      <c r="N31" s="97">
        <f>'Stavební rozpočet'!N153</f>
        <v>0</v>
      </c>
      <c r="O31" s="97">
        <f>G31*N31</f>
        <v>0</v>
      </c>
      <c r="P31" s="99" t="s">
        <v>156</v>
      </c>
      <c r="Z31" s="55">
        <f>ROUND(IF(AQ31="5",BJ31,0),2)</f>
        <v>0</v>
      </c>
      <c r="AB31" s="55">
        <f>ROUND(IF(AQ31="1",BH31,0),2)</f>
        <v>0</v>
      </c>
      <c r="AC31" s="55">
        <f>ROUND(IF(AQ31="1",BI31,0),2)</f>
        <v>0</v>
      </c>
      <c r="AD31" s="55">
        <f>ROUND(IF(AQ31="7",BH31,0),2)</f>
        <v>0</v>
      </c>
      <c r="AE31" s="55">
        <f>ROUND(IF(AQ31="7",BI31,0),2)</f>
        <v>0</v>
      </c>
      <c r="AF31" s="55">
        <f>ROUND(IF(AQ31="2",BH31,0),2)</f>
        <v>0</v>
      </c>
      <c r="AG31" s="55">
        <f>ROUND(IF(AQ31="2",BI31,0),2)</f>
        <v>0</v>
      </c>
      <c r="AH31" s="55">
        <f>ROUND(IF(AQ31="0",BJ31,0),2)</f>
        <v>0</v>
      </c>
      <c r="AI31" s="75" t="s">
        <v>108</v>
      </c>
      <c r="AJ31" s="55">
        <f>IF(AN31=0,L31,0)</f>
        <v>0</v>
      </c>
      <c r="AK31" s="55">
        <f>IF(AN31=12,L31,0)</f>
        <v>0</v>
      </c>
      <c r="AL31" s="55">
        <f>IF(AN31=21,L31,0)</f>
        <v>0</v>
      </c>
      <c r="AN31" s="55">
        <v>21</v>
      </c>
      <c r="AO31" s="55">
        <f>H31*0</f>
        <v>0</v>
      </c>
      <c r="AP31" s="55">
        <f>H31*(1-0)</f>
        <v>0</v>
      </c>
      <c r="AQ31" s="54" t="s">
        <v>152</v>
      </c>
      <c r="AV31" s="55">
        <f>ROUND(AW31+AX31,2)</f>
        <v>0</v>
      </c>
      <c r="AW31" s="55">
        <f>ROUND(G31*AO31,2)</f>
        <v>0</v>
      </c>
      <c r="AX31" s="55">
        <f>ROUND(G31*AP31,2)</f>
        <v>0</v>
      </c>
      <c r="AY31" s="54" t="s">
        <v>527</v>
      </c>
      <c r="AZ31" s="54" t="s">
        <v>498</v>
      </c>
      <c r="BA31" s="75" t="s">
        <v>499</v>
      </c>
      <c r="BC31" s="55">
        <f>AW31+AX31</f>
        <v>0</v>
      </c>
      <c r="BD31" s="55">
        <f>H31/(100-BE31)*100</f>
        <v>0</v>
      </c>
      <c r="BE31" s="55">
        <v>0</v>
      </c>
      <c r="BF31" s="55">
        <f>O31</f>
        <v>0</v>
      </c>
      <c r="BH31" s="55">
        <f>G31*AO31</f>
        <v>0</v>
      </c>
      <c r="BI31" s="55">
        <f>G31*AP31</f>
        <v>0</v>
      </c>
      <c r="BJ31" s="55">
        <f>G31*H31</f>
        <v>0</v>
      </c>
      <c r="BK31" s="54" t="s">
        <v>161</v>
      </c>
      <c r="BL31" s="55">
        <v>18</v>
      </c>
      <c r="BW31" s="55">
        <f>I31</f>
        <v>21</v>
      </c>
      <c r="BX31" s="16" t="s">
        <v>526</v>
      </c>
    </row>
    <row r="32" spans="1:76" ht="15" customHeight="1" x14ac:dyDescent="0.3">
      <c r="A32" s="105" t="s">
        <v>218</v>
      </c>
      <c r="B32" s="105" t="s">
        <v>108</v>
      </c>
      <c r="C32" s="105" t="s">
        <v>529</v>
      </c>
      <c r="D32" s="201" t="s">
        <v>530</v>
      </c>
      <c r="E32" s="201"/>
      <c r="F32" s="105" t="s">
        <v>323</v>
      </c>
      <c r="G32" s="107">
        <f>'Stavební rozpočet'!G154</f>
        <v>265.36799999999999</v>
      </c>
      <c r="H32" s="108">
        <f>'Stavební rozpočet'!H154</f>
        <v>0</v>
      </c>
      <c r="I32" s="109">
        <v>21</v>
      </c>
      <c r="J32" s="108">
        <f>ROUND(G32*AO32,2)</f>
        <v>0</v>
      </c>
      <c r="K32" s="108">
        <f>ROUND(G32*AP32,2)</f>
        <v>0</v>
      </c>
      <c r="L32" s="108">
        <f>ROUND(G32*H32,2)</f>
        <v>0</v>
      </c>
      <c r="M32" s="108">
        <f>L32*(1+BW32/100)</f>
        <v>0</v>
      </c>
      <c r="N32" s="108">
        <f>'Stavební rozpočet'!N154</f>
        <v>1</v>
      </c>
      <c r="O32" s="108">
        <f>G32*N32</f>
        <v>265.36799999999999</v>
      </c>
      <c r="P32" s="110" t="s">
        <v>156</v>
      </c>
      <c r="Z32" s="55">
        <f>ROUND(IF(AQ32="5",BJ32,0),2)</f>
        <v>0</v>
      </c>
      <c r="AB32" s="55">
        <f>ROUND(IF(AQ32="1",BH32,0),2)</f>
        <v>0</v>
      </c>
      <c r="AC32" s="55">
        <f>ROUND(IF(AQ32="1",BI32,0),2)</f>
        <v>0</v>
      </c>
      <c r="AD32" s="55">
        <f>ROUND(IF(AQ32="7",BH32,0),2)</f>
        <v>0</v>
      </c>
      <c r="AE32" s="55">
        <f>ROUND(IF(AQ32="7",BI32,0),2)</f>
        <v>0</v>
      </c>
      <c r="AF32" s="55">
        <f>ROUND(IF(AQ32="2",BH32,0),2)</f>
        <v>0</v>
      </c>
      <c r="AG32" s="55">
        <f>ROUND(IF(AQ32="2",BI32,0),2)</f>
        <v>0</v>
      </c>
      <c r="AH32" s="55">
        <f>ROUND(IF(AQ32="0",BJ32,0),2)</f>
        <v>0</v>
      </c>
      <c r="AI32" s="75" t="s">
        <v>108</v>
      </c>
      <c r="AJ32" s="111">
        <f>IF(AN32=0,L32,0)</f>
        <v>0</v>
      </c>
      <c r="AK32" s="111">
        <f>IF(AN32=12,L32,0)</f>
        <v>0</v>
      </c>
      <c r="AL32" s="111">
        <f>IF(AN32=21,L32,0)</f>
        <v>0</v>
      </c>
      <c r="AN32" s="55">
        <v>21</v>
      </c>
      <c r="AO32" s="55">
        <f>H32*1</f>
        <v>0</v>
      </c>
      <c r="AP32" s="55">
        <f>H32*(1-1)</f>
        <v>0</v>
      </c>
      <c r="AQ32" s="112" t="s">
        <v>152</v>
      </c>
      <c r="AV32" s="55">
        <f>ROUND(AW32+AX32,2)</f>
        <v>0</v>
      </c>
      <c r="AW32" s="55">
        <f>ROUND(G32*AO32,2)</f>
        <v>0</v>
      </c>
      <c r="AX32" s="55">
        <f>ROUND(G32*AP32,2)</f>
        <v>0</v>
      </c>
      <c r="AY32" s="54" t="s">
        <v>527</v>
      </c>
      <c r="AZ32" s="54" t="s">
        <v>498</v>
      </c>
      <c r="BA32" s="75" t="s">
        <v>499</v>
      </c>
      <c r="BC32" s="55">
        <f>AW32+AX32</f>
        <v>0</v>
      </c>
      <c r="BD32" s="55">
        <f>H32/(100-BE32)*100</f>
        <v>0</v>
      </c>
      <c r="BE32" s="55">
        <v>0</v>
      </c>
      <c r="BF32" s="55">
        <f>O32</f>
        <v>265.36799999999999</v>
      </c>
      <c r="BH32" s="111">
        <f>G32*AO32</f>
        <v>0</v>
      </c>
      <c r="BI32" s="111">
        <f>G32*AP32</f>
        <v>0</v>
      </c>
      <c r="BJ32" s="111">
        <f>G32*H32</f>
        <v>0</v>
      </c>
      <c r="BK32" s="112" t="s">
        <v>489</v>
      </c>
      <c r="BL32" s="55">
        <v>18</v>
      </c>
      <c r="BW32" s="55">
        <f>I32</f>
        <v>21</v>
      </c>
      <c r="BX32" s="113" t="s">
        <v>530</v>
      </c>
    </row>
    <row r="33" spans="1:76" ht="15" customHeight="1" x14ac:dyDescent="0.3">
      <c r="A33" s="94" t="s">
        <v>223</v>
      </c>
      <c r="B33" s="94" t="s">
        <v>108</v>
      </c>
      <c r="C33" s="94" t="s">
        <v>532</v>
      </c>
      <c r="D33" s="199" t="s">
        <v>533</v>
      </c>
      <c r="E33" s="199"/>
      <c r="F33" s="94" t="s">
        <v>155</v>
      </c>
      <c r="G33" s="96">
        <f>'Stavební rozpočet'!G155</f>
        <v>376.94400000000002</v>
      </c>
      <c r="H33" s="97">
        <f>'Stavební rozpočet'!H155</f>
        <v>0</v>
      </c>
      <c r="I33" s="98">
        <v>21</v>
      </c>
      <c r="J33" s="97">
        <f>ROUND(G33*AO33,2)</f>
        <v>0</v>
      </c>
      <c r="K33" s="97">
        <f>ROUND(G33*AP33,2)</f>
        <v>0</v>
      </c>
      <c r="L33" s="97">
        <f>ROUND(G33*H33,2)</f>
        <v>0</v>
      </c>
      <c r="M33" s="97">
        <f>L33*(1+BW33/100)</f>
        <v>0</v>
      </c>
      <c r="N33" s="97">
        <f>'Stavební rozpočet'!N155</f>
        <v>0</v>
      </c>
      <c r="O33" s="97">
        <f>G33*N33</f>
        <v>0</v>
      </c>
      <c r="P33" s="99" t="s">
        <v>156</v>
      </c>
      <c r="Z33" s="55">
        <f>ROUND(IF(AQ33="5",BJ33,0),2)</f>
        <v>0</v>
      </c>
      <c r="AB33" s="55">
        <f>ROUND(IF(AQ33="1",BH33,0),2)</f>
        <v>0</v>
      </c>
      <c r="AC33" s="55">
        <f>ROUND(IF(AQ33="1",BI33,0),2)</f>
        <v>0</v>
      </c>
      <c r="AD33" s="55">
        <f>ROUND(IF(AQ33="7",BH33,0),2)</f>
        <v>0</v>
      </c>
      <c r="AE33" s="55">
        <f>ROUND(IF(AQ33="7",BI33,0),2)</f>
        <v>0</v>
      </c>
      <c r="AF33" s="55">
        <f>ROUND(IF(AQ33="2",BH33,0),2)</f>
        <v>0</v>
      </c>
      <c r="AG33" s="55">
        <f>ROUND(IF(AQ33="2",BI33,0),2)</f>
        <v>0</v>
      </c>
      <c r="AH33" s="55">
        <f>ROUND(IF(AQ33="0",BJ33,0),2)</f>
        <v>0</v>
      </c>
      <c r="AI33" s="75" t="s">
        <v>108</v>
      </c>
      <c r="AJ33" s="55">
        <f>IF(AN33=0,L33,0)</f>
        <v>0</v>
      </c>
      <c r="AK33" s="55">
        <f>IF(AN33=12,L33,0)</f>
        <v>0</v>
      </c>
      <c r="AL33" s="55">
        <f>IF(AN33=21,L33,0)</f>
        <v>0</v>
      </c>
      <c r="AN33" s="55">
        <v>21</v>
      </c>
      <c r="AO33" s="55">
        <f>H33*0</f>
        <v>0</v>
      </c>
      <c r="AP33" s="55">
        <f>H33*(1-0)</f>
        <v>0</v>
      </c>
      <c r="AQ33" s="54" t="s">
        <v>152</v>
      </c>
      <c r="AV33" s="55">
        <f>ROUND(AW33+AX33,2)</f>
        <v>0</v>
      </c>
      <c r="AW33" s="55">
        <f>ROUND(G33*AO33,2)</f>
        <v>0</v>
      </c>
      <c r="AX33" s="55">
        <f>ROUND(G33*AP33,2)</f>
        <v>0</v>
      </c>
      <c r="AY33" s="54" t="s">
        <v>527</v>
      </c>
      <c r="AZ33" s="54" t="s">
        <v>498</v>
      </c>
      <c r="BA33" s="75" t="s">
        <v>499</v>
      </c>
      <c r="BC33" s="55">
        <f>AW33+AX33</f>
        <v>0</v>
      </c>
      <c r="BD33" s="55">
        <f>H33/(100-BE33)*100</f>
        <v>0</v>
      </c>
      <c r="BE33" s="55">
        <v>0</v>
      </c>
      <c r="BF33" s="55">
        <f>O33</f>
        <v>0</v>
      </c>
      <c r="BH33" s="55">
        <f>G33*AO33</f>
        <v>0</v>
      </c>
      <c r="BI33" s="55">
        <f>G33*AP33</f>
        <v>0</v>
      </c>
      <c r="BJ33" s="55">
        <f>G33*H33</f>
        <v>0</v>
      </c>
      <c r="BK33" s="54" t="s">
        <v>161</v>
      </c>
      <c r="BL33" s="55">
        <v>18</v>
      </c>
      <c r="BW33" s="55">
        <f>I33</f>
        <v>21</v>
      </c>
      <c r="BX33" s="16" t="s">
        <v>533</v>
      </c>
    </row>
    <row r="34" spans="1:76" ht="15" customHeight="1" x14ac:dyDescent="0.3">
      <c r="A34" s="88"/>
      <c r="B34" s="89" t="s">
        <v>108</v>
      </c>
      <c r="C34" s="89" t="s">
        <v>266</v>
      </c>
      <c r="D34" s="198" t="s">
        <v>267</v>
      </c>
      <c r="E34" s="198"/>
      <c r="F34" s="88" t="s">
        <v>96</v>
      </c>
      <c r="G34" s="90" t="s">
        <v>96</v>
      </c>
      <c r="H34" s="88" t="s">
        <v>96</v>
      </c>
      <c r="I34" s="88" t="s">
        <v>96</v>
      </c>
      <c r="J34" s="91">
        <f>SUM(J35)</f>
        <v>0</v>
      </c>
      <c r="K34" s="91">
        <f>SUM(K35)</f>
        <v>0</v>
      </c>
      <c r="L34" s="91">
        <f>SUM(L35)</f>
        <v>0</v>
      </c>
      <c r="M34" s="91">
        <f>SUM(M35)</f>
        <v>0</v>
      </c>
      <c r="N34" s="92"/>
      <c r="O34" s="91">
        <f>SUM(O35)</f>
        <v>0.21</v>
      </c>
      <c r="P34" s="92"/>
      <c r="AI34" s="75" t="s">
        <v>108</v>
      </c>
      <c r="AS34" s="68">
        <f>SUM(AJ35)</f>
        <v>0</v>
      </c>
      <c r="AT34" s="68">
        <f>SUM(AK35)</f>
        <v>0</v>
      </c>
      <c r="AU34" s="68">
        <f>SUM(AL35)</f>
        <v>0</v>
      </c>
    </row>
    <row r="35" spans="1:76" ht="15" customHeight="1" x14ac:dyDescent="0.3">
      <c r="A35" s="94" t="s">
        <v>228</v>
      </c>
      <c r="B35" s="94" t="s">
        <v>108</v>
      </c>
      <c r="C35" s="94" t="s">
        <v>535</v>
      </c>
      <c r="D35" s="199" t="s">
        <v>536</v>
      </c>
      <c r="E35" s="199"/>
      <c r="F35" s="94" t="s">
        <v>212</v>
      </c>
      <c r="G35" s="96">
        <f>'Stavební rozpočet'!G157</f>
        <v>1</v>
      </c>
      <c r="H35" s="97">
        <f>'Stavební rozpočet'!H157</f>
        <v>0</v>
      </c>
      <c r="I35" s="98">
        <v>21</v>
      </c>
      <c r="J35" s="97">
        <f>ROUND(G35*AO35,2)</f>
        <v>0</v>
      </c>
      <c r="K35" s="97">
        <f>ROUND(G35*AP35,2)</f>
        <v>0</v>
      </c>
      <c r="L35" s="97">
        <f>ROUND(G35*H35,2)</f>
        <v>0</v>
      </c>
      <c r="M35" s="97">
        <f>L35*(1+BW35/100)</f>
        <v>0</v>
      </c>
      <c r="N35" s="97">
        <f>'Stavební rozpočet'!N157</f>
        <v>0.21</v>
      </c>
      <c r="O35" s="97">
        <f>G35*N35</f>
        <v>0.21</v>
      </c>
      <c r="P35" s="99" t="s">
        <v>156</v>
      </c>
      <c r="Z35" s="55">
        <f>ROUND(IF(AQ35="5",BJ35,0),2)</f>
        <v>0</v>
      </c>
      <c r="AB35" s="55">
        <f>ROUND(IF(AQ35="1",BH35,0),2)</f>
        <v>0</v>
      </c>
      <c r="AC35" s="55">
        <f>ROUND(IF(AQ35="1",BI35,0),2)</f>
        <v>0</v>
      </c>
      <c r="AD35" s="55">
        <f>ROUND(IF(AQ35="7",BH35,0),2)</f>
        <v>0</v>
      </c>
      <c r="AE35" s="55">
        <f>ROUND(IF(AQ35="7",BI35,0),2)</f>
        <v>0</v>
      </c>
      <c r="AF35" s="55">
        <f>ROUND(IF(AQ35="2",BH35,0),2)</f>
        <v>0</v>
      </c>
      <c r="AG35" s="55">
        <f>ROUND(IF(AQ35="2",BI35,0),2)</f>
        <v>0</v>
      </c>
      <c r="AH35" s="55">
        <f>ROUND(IF(AQ35="0",BJ35,0),2)</f>
        <v>0</v>
      </c>
      <c r="AI35" s="75" t="s">
        <v>108</v>
      </c>
      <c r="AJ35" s="55">
        <f>IF(AN35=0,L35,0)</f>
        <v>0</v>
      </c>
      <c r="AK35" s="55">
        <f>IF(AN35=12,L35,0)</f>
        <v>0</v>
      </c>
      <c r="AL35" s="55">
        <f>IF(AN35=21,L35,0)</f>
        <v>0</v>
      </c>
      <c r="AN35" s="55">
        <v>21</v>
      </c>
      <c r="AO35" s="55">
        <f>H35*0</f>
        <v>0</v>
      </c>
      <c r="AP35" s="55">
        <f>H35*(1-0)</f>
        <v>0</v>
      </c>
      <c r="AQ35" s="54" t="s">
        <v>157</v>
      </c>
      <c r="AV35" s="55">
        <f>ROUND(AW35+AX35,2)</f>
        <v>0</v>
      </c>
      <c r="AW35" s="55">
        <f>ROUND(G35*AO35,2)</f>
        <v>0</v>
      </c>
      <c r="AX35" s="55">
        <f>ROUND(G35*AP35,2)</f>
        <v>0</v>
      </c>
      <c r="AY35" s="54" t="s">
        <v>271</v>
      </c>
      <c r="AZ35" s="54" t="s">
        <v>537</v>
      </c>
      <c r="BA35" s="75" t="s">
        <v>499</v>
      </c>
      <c r="BC35" s="55">
        <f>AW35+AX35</f>
        <v>0</v>
      </c>
      <c r="BD35" s="55">
        <f>H35/(100-BE35)*100</f>
        <v>0</v>
      </c>
      <c r="BE35" s="55">
        <v>0</v>
      </c>
      <c r="BF35" s="55">
        <f>O35</f>
        <v>0.21</v>
      </c>
      <c r="BH35" s="55">
        <f>G35*AO35</f>
        <v>0</v>
      </c>
      <c r="BI35" s="55">
        <f>G35*AP35</f>
        <v>0</v>
      </c>
      <c r="BJ35" s="55">
        <f>G35*H35</f>
        <v>0</v>
      </c>
      <c r="BK35" s="54" t="s">
        <v>161</v>
      </c>
      <c r="BL35" s="55">
        <v>767</v>
      </c>
      <c r="BW35" s="55">
        <f>I35</f>
        <v>21</v>
      </c>
      <c r="BX35" s="16" t="s">
        <v>536</v>
      </c>
    </row>
    <row r="36" spans="1:76" ht="15" customHeight="1" x14ac:dyDescent="0.3">
      <c r="A36" s="88"/>
      <c r="B36" s="89" t="s">
        <v>108</v>
      </c>
      <c r="C36" s="89" t="s">
        <v>324</v>
      </c>
      <c r="D36" s="198" t="s">
        <v>325</v>
      </c>
      <c r="E36" s="198"/>
      <c r="F36" s="88" t="s">
        <v>96</v>
      </c>
      <c r="G36" s="90" t="s">
        <v>96</v>
      </c>
      <c r="H36" s="88" t="s">
        <v>96</v>
      </c>
      <c r="I36" s="88" t="s">
        <v>96</v>
      </c>
      <c r="J36" s="91">
        <f>SUM(J37:J39)</f>
        <v>0</v>
      </c>
      <c r="K36" s="91">
        <f>SUM(K37:K39)</f>
        <v>0</v>
      </c>
      <c r="L36" s="91">
        <f>SUM(L37:L39)</f>
        <v>0</v>
      </c>
      <c r="M36" s="91">
        <f>SUM(M37:M39)</f>
        <v>0</v>
      </c>
      <c r="N36" s="92"/>
      <c r="O36" s="91">
        <f>SUM(O37:O39)</f>
        <v>167.32139608</v>
      </c>
      <c r="P36" s="92"/>
      <c r="AI36" s="75" t="s">
        <v>108</v>
      </c>
      <c r="AS36" s="68">
        <f>SUM(AJ37:AJ39)</f>
        <v>0</v>
      </c>
      <c r="AT36" s="68">
        <f>SUM(AK37:AK39)</f>
        <v>0</v>
      </c>
      <c r="AU36" s="68">
        <f>SUM(AL37:AL39)</f>
        <v>0</v>
      </c>
    </row>
    <row r="37" spans="1:76" ht="15" customHeight="1" x14ac:dyDescent="0.3">
      <c r="A37" s="94" t="s">
        <v>234</v>
      </c>
      <c r="B37" s="94" t="s">
        <v>108</v>
      </c>
      <c r="C37" s="94" t="s">
        <v>539</v>
      </c>
      <c r="D37" s="199" t="s">
        <v>540</v>
      </c>
      <c r="E37" s="199"/>
      <c r="F37" s="94" t="s">
        <v>366</v>
      </c>
      <c r="G37" s="96">
        <f>'Stavební rozpočet'!G159</f>
        <v>12.04</v>
      </c>
      <c r="H37" s="97">
        <f>'Stavební rozpočet'!H159</f>
        <v>0</v>
      </c>
      <c r="I37" s="98">
        <v>21</v>
      </c>
      <c r="J37" s="97">
        <f>ROUND(G37*AO37,2)</f>
        <v>0</v>
      </c>
      <c r="K37" s="97">
        <f>ROUND(G37*AP37,2)</f>
        <v>0</v>
      </c>
      <c r="L37" s="97">
        <f>ROUND(G37*H37,2)</f>
        <v>0</v>
      </c>
      <c r="M37" s="97">
        <f>L37*(1+BW37/100)</f>
        <v>0</v>
      </c>
      <c r="N37" s="97">
        <f>'Stavební rozpočet'!N159</f>
        <v>2.5</v>
      </c>
      <c r="O37" s="97">
        <f>G37*N37</f>
        <v>30.099999999999998</v>
      </c>
      <c r="P37" s="99" t="s">
        <v>156</v>
      </c>
      <c r="Z37" s="55">
        <f>ROUND(IF(AQ37="5",BJ37,0),2)</f>
        <v>0</v>
      </c>
      <c r="AB37" s="55">
        <f>ROUND(IF(AQ37="1",BH37,0),2)</f>
        <v>0</v>
      </c>
      <c r="AC37" s="55">
        <f>ROUND(IF(AQ37="1",BI37,0),2)</f>
        <v>0</v>
      </c>
      <c r="AD37" s="55">
        <f>ROUND(IF(AQ37="7",BH37,0),2)</f>
        <v>0</v>
      </c>
      <c r="AE37" s="55">
        <f>ROUND(IF(AQ37="7",BI37,0),2)</f>
        <v>0</v>
      </c>
      <c r="AF37" s="55">
        <f>ROUND(IF(AQ37="2",BH37,0),2)</f>
        <v>0</v>
      </c>
      <c r="AG37" s="55">
        <f>ROUND(IF(AQ37="2",BI37,0),2)</f>
        <v>0</v>
      </c>
      <c r="AH37" s="55">
        <f>ROUND(IF(AQ37="0",BJ37,0),2)</f>
        <v>0</v>
      </c>
      <c r="AI37" s="75" t="s">
        <v>108</v>
      </c>
      <c r="AJ37" s="55">
        <f>IF(AN37=0,L37,0)</f>
        <v>0</v>
      </c>
      <c r="AK37" s="55">
        <f>IF(AN37=12,L37,0)</f>
        <v>0</v>
      </c>
      <c r="AL37" s="55">
        <f>IF(AN37=21,L37,0)</f>
        <v>0</v>
      </c>
      <c r="AN37" s="55">
        <v>21</v>
      </c>
      <c r="AO37" s="55">
        <f>H37*0</f>
        <v>0</v>
      </c>
      <c r="AP37" s="55">
        <f>H37*(1-0)</f>
        <v>0</v>
      </c>
      <c r="AQ37" s="54" t="s">
        <v>152</v>
      </c>
      <c r="AV37" s="55">
        <f>ROUND(AW37+AX37,2)</f>
        <v>0</v>
      </c>
      <c r="AW37" s="55">
        <f>ROUND(G37*AO37,2)</f>
        <v>0</v>
      </c>
      <c r="AX37" s="55">
        <f>ROUND(G37*AP37,2)</f>
        <v>0</v>
      </c>
      <c r="AY37" s="54" t="s">
        <v>329</v>
      </c>
      <c r="AZ37" s="54" t="s">
        <v>541</v>
      </c>
      <c r="BA37" s="75" t="s">
        <v>499</v>
      </c>
      <c r="BC37" s="55">
        <f>AW37+AX37</f>
        <v>0</v>
      </c>
      <c r="BD37" s="55">
        <f>H37/(100-BE37)*100</f>
        <v>0</v>
      </c>
      <c r="BE37" s="55">
        <v>0</v>
      </c>
      <c r="BF37" s="55">
        <f>O37</f>
        <v>30.099999999999998</v>
      </c>
      <c r="BH37" s="55">
        <f>G37*AO37</f>
        <v>0</v>
      </c>
      <c r="BI37" s="55">
        <f>G37*AP37</f>
        <v>0</v>
      </c>
      <c r="BJ37" s="55">
        <f>G37*H37</f>
        <v>0</v>
      </c>
      <c r="BK37" s="54" t="s">
        <v>161</v>
      </c>
      <c r="BL37" s="55">
        <v>96</v>
      </c>
      <c r="BW37" s="55">
        <f>I37</f>
        <v>21</v>
      </c>
      <c r="BX37" s="16" t="s">
        <v>540</v>
      </c>
    </row>
    <row r="38" spans="1:76" ht="15" customHeight="1" x14ac:dyDescent="0.3">
      <c r="A38" s="94" t="s">
        <v>239</v>
      </c>
      <c r="B38" s="94" t="s">
        <v>108</v>
      </c>
      <c r="C38" s="94" t="s">
        <v>543</v>
      </c>
      <c r="D38" s="199" t="s">
        <v>544</v>
      </c>
      <c r="E38" s="199"/>
      <c r="F38" s="94" t="s">
        <v>366</v>
      </c>
      <c r="G38" s="96">
        <f>'Stavební rozpočet'!G160</f>
        <v>23.64</v>
      </c>
      <c r="H38" s="97">
        <f>'Stavební rozpočet'!H160</f>
        <v>0</v>
      </c>
      <c r="I38" s="98">
        <v>21</v>
      </c>
      <c r="J38" s="97">
        <f>ROUND(G38*AO38,2)</f>
        <v>0</v>
      </c>
      <c r="K38" s="97">
        <f>ROUND(G38*AP38,2)</f>
        <v>0</v>
      </c>
      <c r="L38" s="97">
        <f>ROUND(G38*H38,2)</f>
        <v>0</v>
      </c>
      <c r="M38" s="97">
        <f>L38*(1+BW38/100)</f>
        <v>0</v>
      </c>
      <c r="N38" s="97">
        <f>'Stavební rozpočet'!N160</f>
        <v>2.2713299999999998</v>
      </c>
      <c r="O38" s="97">
        <f>G38*N38</f>
        <v>53.6942412</v>
      </c>
      <c r="P38" s="99" t="s">
        <v>156</v>
      </c>
      <c r="Z38" s="55">
        <f>ROUND(IF(AQ38="5",BJ38,0),2)</f>
        <v>0</v>
      </c>
      <c r="AB38" s="55">
        <f>ROUND(IF(AQ38="1",BH38,0),2)</f>
        <v>0</v>
      </c>
      <c r="AC38" s="55">
        <f>ROUND(IF(AQ38="1",BI38,0),2)</f>
        <v>0</v>
      </c>
      <c r="AD38" s="55">
        <f>ROUND(IF(AQ38="7",BH38,0),2)</f>
        <v>0</v>
      </c>
      <c r="AE38" s="55">
        <f>ROUND(IF(AQ38="7",BI38,0),2)</f>
        <v>0</v>
      </c>
      <c r="AF38" s="55">
        <f>ROUND(IF(AQ38="2",BH38,0),2)</f>
        <v>0</v>
      </c>
      <c r="AG38" s="55">
        <f>ROUND(IF(AQ38="2",BI38,0),2)</f>
        <v>0</v>
      </c>
      <c r="AH38" s="55">
        <f>ROUND(IF(AQ38="0",BJ38,0),2)</f>
        <v>0</v>
      </c>
      <c r="AI38" s="75" t="s">
        <v>108</v>
      </c>
      <c r="AJ38" s="55">
        <f>IF(AN38=0,L38,0)</f>
        <v>0</v>
      </c>
      <c r="AK38" s="55">
        <f>IF(AN38=12,L38,0)</f>
        <v>0</v>
      </c>
      <c r="AL38" s="55">
        <f>IF(AN38=21,L38,0)</f>
        <v>0</v>
      </c>
      <c r="AN38" s="55">
        <v>21</v>
      </c>
      <c r="AO38" s="55">
        <f>H38*0.03216886</f>
        <v>0</v>
      </c>
      <c r="AP38" s="55">
        <f>H38*(1-0.03216886)</f>
        <v>0</v>
      </c>
      <c r="AQ38" s="54" t="s">
        <v>152</v>
      </c>
      <c r="AV38" s="55">
        <f>ROUND(AW38+AX38,2)</f>
        <v>0</v>
      </c>
      <c r="AW38" s="55">
        <f>ROUND(G38*AO38,2)</f>
        <v>0</v>
      </c>
      <c r="AX38" s="55">
        <f>ROUND(G38*AP38,2)</f>
        <v>0</v>
      </c>
      <c r="AY38" s="54" t="s">
        <v>329</v>
      </c>
      <c r="AZ38" s="54" t="s">
        <v>541</v>
      </c>
      <c r="BA38" s="75" t="s">
        <v>499</v>
      </c>
      <c r="BC38" s="55">
        <f>AW38+AX38</f>
        <v>0</v>
      </c>
      <c r="BD38" s="55">
        <f>H38/(100-BE38)*100</f>
        <v>0</v>
      </c>
      <c r="BE38" s="55">
        <v>0</v>
      </c>
      <c r="BF38" s="55">
        <f>O38</f>
        <v>53.6942412</v>
      </c>
      <c r="BH38" s="55">
        <f>G38*AO38</f>
        <v>0</v>
      </c>
      <c r="BI38" s="55">
        <f>G38*AP38</f>
        <v>0</v>
      </c>
      <c r="BJ38" s="55">
        <f>G38*H38</f>
        <v>0</v>
      </c>
      <c r="BK38" s="54" t="s">
        <v>161</v>
      </c>
      <c r="BL38" s="55">
        <v>96</v>
      </c>
      <c r="BW38" s="55">
        <f>I38</f>
        <v>21</v>
      </c>
      <c r="BX38" s="16" t="s">
        <v>544</v>
      </c>
    </row>
    <row r="39" spans="1:76" ht="24" customHeight="1" x14ac:dyDescent="0.3">
      <c r="A39" s="94" t="s">
        <v>244</v>
      </c>
      <c r="B39" s="94" t="s">
        <v>108</v>
      </c>
      <c r="C39" s="94" t="s">
        <v>546</v>
      </c>
      <c r="D39" s="199" t="s">
        <v>547</v>
      </c>
      <c r="E39" s="199"/>
      <c r="F39" s="94" t="s">
        <v>366</v>
      </c>
      <c r="G39" s="96">
        <f>'Stavební rozpočet'!G161</f>
        <v>46.371000000000002</v>
      </c>
      <c r="H39" s="97">
        <f>'Stavební rozpočet'!H161</f>
        <v>0</v>
      </c>
      <c r="I39" s="98">
        <v>21</v>
      </c>
      <c r="J39" s="97">
        <f>ROUND(G39*AO39,2)</f>
        <v>0</v>
      </c>
      <c r="K39" s="97">
        <f>ROUND(G39*AP39,2)</f>
        <v>0</v>
      </c>
      <c r="L39" s="97">
        <f>ROUND(G39*H39,2)</f>
        <v>0</v>
      </c>
      <c r="M39" s="97">
        <f>L39*(1+BW39/100)</f>
        <v>0</v>
      </c>
      <c r="N39" s="97">
        <f>'Stavební rozpočet'!N161</f>
        <v>1.80128</v>
      </c>
      <c r="O39" s="97">
        <f>G39*N39</f>
        <v>83.527154879999998</v>
      </c>
      <c r="P39" s="99" t="s">
        <v>156</v>
      </c>
      <c r="Z39" s="55">
        <f>ROUND(IF(AQ39="5",BJ39,0),2)</f>
        <v>0</v>
      </c>
      <c r="AB39" s="55">
        <f>ROUND(IF(AQ39="1",BH39,0),2)</f>
        <v>0</v>
      </c>
      <c r="AC39" s="55">
        <f>ROUND(IF(AQ39="1",BI39,0),2)</f>
        <v>0</v>
      </c>
      <c r="AD39" s="55">
        <f>ROUND(IF(AQ39="7",BH39,0),2)</f>
        <v>0</v>
      </c>
      <c r="AE39" s="55">
        <f>ROUND(IF(AQ39="7",BI39,0),2)</f>
        <v>0</v>
      </c>
      <c r="AF39" s="55">
        <f>ROUND(IF(AQ39="2",BH39,0),2)</f>
        <v>0</v>
      </c>
      <c r="AG39" s="55">
        <f>ROUND(IF(AQ39="2",BI39,0),2)</f>
        <v>0</v>
      </c>
      <c r="AH39" s="55">
        <f>ROUND(IF(AQ39="0",BJ39,0),2)</f>
        <v>0</v>
      </c>
      <c r="AI39" s="75" t="s">
        <v>108</v>
      </c>
      <c r="AJ39" s="55">
        <f>IF(AN39=0,L39,0)</f>
        <v>0</v>
      </c>
      <c r="AK39" s="55">
        <f>IF(AN39=12,L39,0)</f>
        <v>0</v>
      </c>
      <c r="AL39" s="55">
        <f>IF(AN39=21,L39,0)</f>
        <v>0</v>
      </c>
      <c r="AN39" s="55">
        <v>21</v>
      </c>
      <c r="AO39" s="55">
        <f>H39*0.03220171</f>
        <v>0</v>
      </c>
      <c r="AP39" s="55">
        <f>H39*(1-0.03220171)</f>
        <v>0</v>
      </c>
      <c r="AQ39" s="54" t="s">
        <v>152</v>
      </c>
      <c r="AV39" s="55">
        <f>ROUND(AW39+AX39,2)</f>
        <v>0</v>
      </c>
      <c r="AW39" s="55">
        <f>ROUND(G39*AO39,2)</f>
        <v>0</v>
      </c>
      <c r="AX39" s="55">
        <f>ROUND(G39*AP39,2)</f>
        <v>0</v>
      </c>
      <c r="AY39" s="54" t="s">
        <v>329</v>
      </c>
      <c r="AZ39" s="54" t="s">
        <v>541</v>
      </c>
      <c r="BA39" s="75" t="s">
        <v>499</v>
      </c>
      <c r="BC39" s="55">
        <f>AW39+AX39</f>
        <v>0</v>
      </c>
      <c r="BD39" s="55">
        <f>H39/(100-BE39)*100</f>
        <v>0</v>
      </c>
      <c r="BE39" s="55">
        <v>0</v>
      </c>
      <c r="BF39" s="55">
        <f>O39</f>
        <v>83.527154879999998</v>
      </c>
      <c r="BH39" s="55">
        <f>G39*AO39</f>
        <v>0</v>
      </c>
      <c r="BI39" s="55">
        <f>G39*AP39</f>
        <v>0</v>
      </c>
      <c r="BJ39" s="55">
        <f>G39*H39</f>
        <v>0</v>
      </c>
      <c r="BK39" s="54" t="s">
        <v>161</v>
      </c>
      <c r="BL39" s="55">
        <v>96</v>
      </c>
      <c r="BW39" s="55">
        <f>I39</f>
        <v>21</v>
      </c>
      <c r="BX39" s="16" t="s">
        <v>547</v>
      </c>
    </row>
    <row r="40" spans="1:76" ht="15" customHeight="1" x14ac:dyDescent="0.3">
      <c r="A40" s="88"/>
      <c r="B40" s="89" t="s">
        <v>108</v>
      </c>
      <c r="C40" s="89" t="s">
        <v>548</v>
      </c>
      <c r="D40" s="198" t="s">
        <v>549</v>
      </c>
      <c r="E40" s="198"/>
      <c r="F40" s="88" t="s">
        <v>96</v>
      </c>
      <c r="G40" s="90" t="s">
        <v>96</v>
      </c>
      <c r="H40" s="88" t="s">
        <v>96</v>
      </c>
      <c r="I40" s="88" t="s">
        <v>96</v>
      </c>
      <c r="J40" s="91">
        <f>SUM(J41:J42)</f>
        <v>0</v>
      </c>
      <c r="K40" s="91">
        <f>SUM(K41:K42)</f>
        <v>0</v>
      </c>
      <c r="L40" s="91">
        <f>SUM(L41:L42)</f>
        <v>0</v>
      </c>
      <c r="M40" s="91">
        <f>SUM(M41:M42)</f>
        <v>0</v>
      </c>
      <c r="N40" s="92"/>
      <c r="O40" s="91">
        <f>SUM(O41:O42)</f>
        <v>0</v>
      </c>
      <c r="P40" s="92"/>
      <c r="AI40" s="75" t="s">
        <v>108</v>
      </c>
      <c r="AS40" s="68">
        <f>SUM(AJ41:AJ42)</f>
        <v>0</v>
      </c>
      <c r="AT40" s="68">
        <f>SUM(AK41:AK42)</f>
        <v>0</v>
      </c>
      <c r="AU40" s="68">
        <f>SUM(AL41:AL42)</f>
        <v>0</v>
      </c>
    </row>
    <row r="41" spans="1:76" ht="15" customHeight="1" x14ac:dyDescent="0.3">
      <c r="A41" s="94" t="s">
        <v>250</v>
      </c>
      <c r="B41" s="94" t="s">
        <v>108</v>
      </c>
      <c r="C41" s="94" t="s">
        <v>551</v>
      </c>
      <c r="D41" s="199" t="s">
        <v>552</v>
      </c>
      <c r="E41" s="199"/>
      <c r="F41" s="94" t="s">
        <v>366</v>
      </c>
      <c r="G41" s="96">
        <f>'Stavební rozpočet'!G163</f>
        <v>1.5</v>
      </c>
      <c r="H41" s="97">
        <f>'Stavební rozpočet'!H163</f>
        <v>0</v>
      </c>
      <c r="I41" s="98">
        <v>21</v>
      </c>
      <c r="J41" s="97">
        <f>ROUND(G41*AO41,2)</f>
        <v>0</v>
      </c>
      <c r="K41" s="97">
        <f>ROUND(G41*AP41,2)</f>
        <v>0</v>
      </c>
      <c r="L41" s="97">
        <f>ROUND(G41*H41,2)</f>
        <v>0</v>
      </c>
      <c r="M41" s="97">
        <f>L41*(1+BW41/100)</f>
        <v>0</v>
      </c>
      <c r="N41" s="97">
        <f>'Stavební rozpočet'!N163</f>
        <v>0</v>
      </c>
      <c r="O41" s="97">
        <f>G41*N41</f>
        <v>0</v>
      </c>
      <c r="P41" s="99" t="s">
        <v>156</v>
      </c>
      <c r="Z41" s="55">
        <f>ROUND(IF(AQ41="5",BJ41,0),2)</f>
        <v>0</v>
      </c>
      <c r="AB41" s="55">
        <f>ROUND(IF(AQ41="1",BH41,0),2)</f>
        <v>0</v>
      </c>
      <c r="AC41" s="55">
        <f>ROUND(IF(AQ41="1",BI41,0),2)</f>
        <v>0</v>
      </c>
      <c r="AD41" s="55">
        <f>ROUND(IF(AQ41="7",BH41,0),2)</f>
        <v>0</v>
      </c>
      <c r="AE41" s="55">
        <f>ROUND(IF(AQ41="7",BI41,0),2)</f>
        <v>0</v>
      </c>
      <c r="AF41" s="55">
        <f>ROUND(IF(AQ41="2",BH41,0),2)</f>
        <v>0</v>
      </c>
      <c r="AG41" s="55">
        <f>ROUND(IF(AQ41="2",BI41,0),2)</f>
        <v>0</v>
      </c>
      <c r="AH41" s="55">
        <f>ROUND(IF(AQ41="0",BJ41,0),2)</f>
        <v>0</v>
      </c>
      <c r="AI41" s="75" t="s">
        <v>108</v>
      </c>
      <c r="AJ41" s="55">
        <f>IF(AN41=0,L41,0)</f>
        <v>0</v>
      </c>
      <c r="AK41" s="55">
        <f>IF(AN41=12,L41,0)</f>
        <v>0</v>
      </c>
      <c r="AL41" s="55">
        <f>IF(AN41=21,L41,0)</f>
        <v>0</v>
      </c>
      <c r="AN41" s="55">
        <v>21</v>
      </c>
      <c r="AO41" s="55">
        <f>H41*0</f>
        <v>0</v>
      </c>
      <c r="AP41" s="55">
        <f>H41*(1-0)</f>
        <v>0</v>
      </c>
      <c r="AQ41" s="54" t="s">
        <v>162</v>
      </c>
      <c r="AV41" s="55">
        <f>ROUND(AW41+AX41,2)</f>
        <v>0</v>
      </c>
      <c r="AW41" s="55">
        <f>ROUND(G41*AO41,2)</f>
        <v>0</v>
      </c>
      <c r="AX41" s="55">
        <f>ROUND(G41*AP41,2)</f>
        <v>0</v>
      </c>
      <c r="AY41" s="54" t="s">
        <v>553</v>
      </c>
      <c r="AZ41" s="54" t="s">
        <v>541</v>
      </c>
      <c r="BA41" s="75" t="s">
        <v>499</v>
      </c>
      <c r="BC41" s="55">
        <f>AW41+AX41</f>
        <v>0</v>
      </c>
      <c r="BD41" s="55">
        <f>H41/(100-BE41)*100</f>
        <v>0</v>
      </c>
      <c r="BE41" s="55">
        <v>0</v>
      </c>
      <c r="BF41" s="55">
        <f>O41</f>
        <v>0</v>
      </c>
      <c r="BH41" s="55">
        <f>G41*AO41</f>
        <v>0</v>
      </c>
      <c r="BI41" s="55">
        <f>G41*AP41</f>
        <v>0</v>
      </c>
      <c r="BJ41" s="55">
        <f>G41*H41</f>
        <v>0</v>
      </c>
      <c r="BK41" s="54" t="s">
        <v>161</v>
      </c>
      <c r="BL41" s="55"/>
      <c r="BW41" s="55">
        <f>I41</f>
        <v>21</v>
      </c>
      <c r="BX41" s="16" t="s">
        <v>552</v>
      </c>
    </row>
    <row r="42" spans="1:76" ht="15" customHeight="1" x14ac:dyDescent="0.3">
      <c r="A42" s="94" t="s">
        <v>254</v>
      </c>
      <c r="B42" s="94" t="s">
        <v>108</v>
      </c>
      <c r="C42" s="94" t="s">
        <v>555</v>
      </c>
      <c r="D42" s="199" t="s">
        <v>556</v>
      </c>
      <c r="E42" s="199"/>
      <c r="F42" s="94" t="s">
        <v>366</v>
      </c>
      <c r="G42" s="96">
        <f>'Stavební rozpočet'!G164</f>
        <v>12</v>
      </c>
      <c r="H42" s="97">
        <f>'Stavební rozpočet'!H164</f>
        <v>0</v>
      </c>
      <c r="I42" s="98">
        <v>21</v>
      </c>
      <c r="J42" s="97">
        <f>ROUND(G42*AO42,2)</f>
        <v>0</v>
      </c>
      <c r="K42" s="97">
        <f>ROUND(G42*AP42,2)</f>
        <v>0</v>
      </c>
      <c r="L42" s="97">
        <f>ROUND(G42*H42,2)</f>
        <v>0</v>
      </c>
      <c r="M42" s="97">
        <f>L42*(1+BW42/100)</f>
        <v>0</v>
      </c>
      <c r="N42" s="97">
        <f>'Stavební rozpočet'!N164</f>
        <v>0</v>
      </c>
      <c r="O42" s="97">
        <f>G42*N42</f>
        <v>0</v>
      </c>
      <c r="P42" s="99" t="s">
        <v>156</v>
      </c>
      <c r="Z42" s="55">
        <f>ROUND(IF(AQ42="5",BJ42,0),2)</f>
        <v>0</v>
      </c>
      <c r="AB42" s="55">
        <f>ROUND(IF(AQ42="1",BH42,0),2)</f>
        <v>0</v>
      </c>
      <c r="AC42" s="55">
        <f>ROUND(IF(AQ42="1",BI42,0),2)</f>
        <v>0</v>
      </c>
      <c r="AD42" s="55">
        <f>ROUND(IF(AQ42="7",BH42,0),2)</f>
        <v>0</v>
      </c>
      <c r="AE42" s="55">
        <f>ROUND(IF(AQ42="7",BI42,0),2)</f>
        <v>0</v>
      </c>
      <c r="AF42" s="55">
        <f>ROUND(IF(AQ42="2",BH42,0),2)</f>
        <v>0</v>
      </c>
      <c r="AG42" s="55">
        <f>ROUND(IF(AQ42="2",BI42,0),2)</f>
        <v>0</v>
      </c>
      <c r="AH42" s="55">
        <f>ROUND(IF(AQ42="0",BJ42,0),2)</f>
        <v>0</v>
      </c>
      <c r="AI42" s="75" t="s">
        <v>108</v>
      </c>
      <c r="AJ42" s="55">
        <f>IF(AN42=0,L42,0)</f>
        <v>0</v>
      </c>
      <c r="AK42" s="55">
        <f>IF(AN42=12,L42,0)</f>
        <v>0</v>
      </c>
      <c r="AL42" s="55">
        <f>IF(AN42=21,L42,0)</f>
        <v>0</v>
      </c>
      <c r="AN42" s="55">
        <v>21</v>
      </c>
      <c r="AO42" s="55">
        <f>H42*0</f>
        <v>0</v>
      </c>
      <c r="AP42" s="55">
        <f>H42*(1-0)</f>
        <v>0</v>
      </c>
      <c r="AQ42" s="54" t="s">
        <v>162</v>
      </c>
      <c r="AV42" s="55">
        <f>ROUND(AW42+AX42,2)</f>
        <v>0</v>
      </c>
      <c r="AW42" s="55">
        <f>ROUND(G42*AO42,2)</f>
        <v>0</v>
      </c>
      <c r="AX42" s="55">
        <f>ROUND(G42*AP42,2)</f>
        <v>0</v>
      </c>
      <c r="AY42" s="54" t="s">
        <v>553</v>
      </c>
      <c r="AZ42" s="54" t="s">
        <v>541</v>
      </c>
      <c r="BA42" s="75" t="s">
        <v>499</v>
      </c>
      <c r="BC42" s="55">
        <f>AW42+AX42</f>
        <v>0</v>
      </c>
      <c r="BD42" s="55">
        <f>H42/(100-BE42)*100</f>
        <v>0</v>
      </c>
      <c r="BE42" s="55">
        <v>0</v>
      </c>
      <c r="BF42" s="55">
        <f>O42</f>
        <v>0</v>
      </c>
      <c r="BH42" s="55">
        <f>G42*AO42</f>
        <v>0</v>
      </c>
      <c r="BI42" s="55">
        <f>G42*AP42</f>
        <v>0</v>
      </c>
      <c r="BJ42" s="55">
        <f>G42*H42</f>
        <v>0</v>
      </c>
      <c r="BK42" s="54" t="s">
        <v>161</v>
      </c>
      <c r="BL42" s="55"/>
      <c r="BW42" s="55">
        <f>I42</f>
        <v>21</v>
      </c>
      <c r="BX42" s="16" t="s">
        <v>556</v>
      </c>
    </row>
    <row r="43" spans="1:76" ht="15" customHeight="1" x14ac:dyDescent="0.3">
      <c r="A43" s="88"/>
      <c r="B43" s="89" t="s">
        <v>108</v>
      </c>
      <c r="C43" s="89" t="s">
        <v>398</v>
      </c>
      <c r="D43" s="198" t="s">
        <v>399</v>
      </c>
      <c r="E43" s="198"/>
      <c r="F43" s="88" t="s">
        <v>96</v>
      </c>
      <c r="G43" s="90" t="s">
        <v>96</v>
      </c>
      <c r="H43" s="88" t="s">
        <v>96</v>
      </c>
      <c r="I43" s="88" t="s">
        <v>96</v>
      </c>
      <c r="J43" s="91">
        <f>SUM(J44:J46)</f>
        <v>0</v>
      </c>
      <c r="K43" s="91">
        <f>SUM(K44:K46)</f>
        <v>0</v>
      </c>
      <c r="L43" s="91">
        <f>SUM(L44:L46)</f>
        <v>0</v>
      </c>
      <c r="M43" s="91">
        <f>SUM(M44:M46)</f>
        <v>0</v>
      </c>
      <c r="N43" s="92"/>
      <c r="O43" s="91">
        <f>SUM(O44:O46)</f>
        <v>0</v>
      </c>
      <c r="P43" s="92"/>
      <c r="AI43" s="75" t="s">
        <v>108</v>
      </c>
      <c r="AS43" s="68">
        <f>SUM(AJ44:AJ46)</f>
        <v>0</v>
      </c>
      <c r="AT43" s="68">
        <f>SUM(AK44:AK46)</f>
        <v>0</v>
      </c>
      <c r="AU43" s="68">
        <f>SUM(AL44:AL46)</f>
        <v>0</v>
      </c>
    </row>
    <row r="44" spans="1:76" ht="15" customHeight="1" x14ac:dyDescent="0.3">
      <c r="A44" s="94" t="s">
        <v>257</v>
      </c>
      <c r="B44" s="94" t="s">
        <v>108</v>
      </c>
      <c r="C44" s="94" t="s">
        <v>453</v>
      </c>
      <c r="D44" s="199" t="s">
        <v>454</v>
      </c>
      <c r="E44" s="199"/>
      <c r="F44" s="94" t="s">
        <v>323</v>
      </c>
      <c r="G44" s="96">
        <f>'Stavební rozpočet'!G166</f>
        <v>167.53100000000001</v>
      </c>
      <c r="H44" s="97">
        <f>'Stavební rozpočet'!H166</f>
        <v>0</v>
      </c>
      <c r="I44" s="98">
        <v>21</v>
      </c>
      <c r="J44" s="97">
        <f>ROUND(G44*AO44,2)</f>
        <v>0</v>
      </c>
      <c r="K44" s="97">
        <f>ROUND(G44*AP44,2)</f>
        <v>0</v>
      </c>
      <c r="L44" s="97">
        <f>ROUND(G44*H44,2)</f>
        <v>0</v>
      </c>
      <c r="M44" s="97">
        <f>L44*(1+BW44/100)</f>
        <v>0</v>
      </c>
      <c r="N44" s="97">
        <f>'Stavební rozpočet'!N166</f>
        <v>0</v>
      </c>
      <c r="O44" s="97">
        <f>G44*N44</f>
        <v>0</v>
      </c>
      <c r="P44" s="99" t="s">
        <v>156</v>
      </c>
      <c r="Z44" s="55">
        <f>ROUND(IF(AQ44="5",BJ44,0),2)</f>
        <v>0</v>
      </c>
      <c r="AB44" s="55">
        <f>ROUND(IF(AQ44="1",BH44,0),2)</f>
        <v>0</v>
      </c>
      <c r="AC44" s="55">
        <f>ROUND(IF(AQ44="1",BI44,0),2)</f>
        <v>0</v>
      </c>
      <c r="AD44" s="55">
        <f>ROUND(IF(AQ44="7",BH44,0),2)</f>
        <v>0</v>
      </c>
      <c r="AE44" s="55">
        <f>ROUND(IF(AQ44="7",BI44,0),2)</f>
        <v>0</v>
      </c>
      <c r="AF44" s="55">
        <f>ROUND(IF(AQ44="2",BH44,0),2)</f>
        <v>0</v>
      </c>
      <c r="AG44" s="55">
        <f>ROUND(IF(AQ44="2",BI44,0),2)</f>
        <v>0</v>
      </c>
      <c r="AH44" s="55">
        <f>ROUND(IF(AQ44="0",BJ44,0),2)</f>
        <v>0</v>
      </c>
      <c r="AI44" s="75" t="s">
        <v>108</v>
      </c>
      <c r="AJ44" s="55">
        <f>IF(AN44=0,L44,0)</f>
        <v>0</v>
      </c>
      <c r="AK44" s="55">
        <f>IF(AN44=12,L44,0)</f>
        <v>0</v>
      </c>
      <c r="AL44" s="55">
        <f>IF(AN44=21,L44,0)</f>
        <v>0</v>
      </c>
      <c r="AN44" s="55">
        <v>21</v>
      </c>
      <c r="AO44" s="55">
        <f>H44*0</f>
        <v>0</v>
      </c>
      <c r="AP44" s="55">
        <f>H44*(1-0)</f>
        <v>0</v>
      </c>
      <c r="AQ44" s="54" t="s">
        <v>179</v>
      </c>
      <c r="AV44" s="55">
        <f>ROUND(AW44+AX44,2)</f>
        <v>0</v>
      </c>
      <c r="AW44" s="55">
        <f>ROUND(G44*AO44,2)</f>
        <v>0</v>
      </c>
      <c r="AX44" s="55">
        <f>ROUND(G44*AP44,2)</f>
        <v>0</v>
      </c>
      <c r="AY44" s="54" t="s">
        <v>403</v>
      </c>
      <c r="AZ44" s="54" t="s">
        <v>541</v>
      </c>
      <c r="BA44" s="75" t="s">
        <v>499</v>
      </c>
      <c r="BC44" s="55">
        <f>AW44+AX44</f>
        <v>0</v>
      </c>
      <c r="BD44" s="55">
        <f>H44/(100-BE44)*100</f>
        <v>0</v>
      </c>
      <c r="BE44" s="55">
        <v>0</v>
      </c>
      <c r="BF44" s="55">
        <f>O44</f>
        <v>0</v>
      </c>
      <c r="BH44" s="55">
        <f>G44*AO44</f>
        <v>0</v>
      </c>
      <c r="BI44" s="55">
        <f>G44*AP44</f>
        <v>0</v>
      </c>
      <c r="BJ44" s="55">
        <f>G44*H44</f>
        <v>0</v>
      </c>
      <c r="BK44" s="54" t="s">
        <v>161</v>
      </c>
      <c r="BL44" s="55"/>
      <c r="BW44" s="55">
        <f>I44</f>
        <v>21</v>
      </c>
      <c r="BX44" s="16" t="s">
        <v>454</v>
      </c>
    </row>
    <row r="45" spans="1:76" ht="15" customHeight="1" x14ac:dyDescent="0.3">
      <c r="A45" s="94" t="s">
        <v>260</v>
      </c>
      <c r="B45" s="94" t="s">
        <v>108</v>
      </c>
      <c r="C45" s="94" t="s">
        <v>456</v>
      </c>
      <c r="D45" s="199" t="s">
        <v>457</v>
      </c>
      <c r="E45" s="199"/>
      <c r="F45" s="94" t="s">
        <v>323</v>
      </c>
      <c r="G45" s="96">
        <f>'Stavební rozpočet'!G167</f>
        <v>1340.248</v>
      </c>
      <c r="H45" s="97">
        <f>'Stavební rozpočet'!H167</f>
        <v>0</v>
      </c>
      <c r="I45" s="98">
        <v>21</v>
      </c>
      <c r="J45" s="97">
        <f>ROUND(G45*AO45,2)</f>
        <v>0</v>
      </c>
      <c r="K45" s="97">
        <f>ROUND(G45*AP45,2)</f>
        <v>0</v>
      </c>
      <c r="L45" s="97">
        <f>ROUND(G45*H45,2)</f>
        <v>0</v>
      </c>
      <c r="M45" s="97">
        <f>L45*(1+BW45/100)</f>
        <v>0</v>
      </c>
      <c r="N45" s="97">
        <f>'Stavební rozpočet'!N167</f>
        <v>0</v>
      </c>
      <c r="O45" s="97">
        <f>G45*N45</f>
        <v>0</v>
      </c>
      <c r="P45" s="99" t="s">
        <v>156</v>
      </c>
      <c r="Z45" s="55">
        <f>ROUND(IF(AQ45="5",BJ45,0),2)</f>
        <v>0</v>
      </c>
      <c r="AB45" s="55">
        <f>ROUND(IF(AQ45="1",BH45,0),2)</f>
        <v>0</v>
      </c>
      <c r="AC45" s="55">
        <f>ROUND(IF(AQ45="1",BI45,0),2)</f>
        <v>0</v>
      </c>
      <c r="AD45" s="55">
        <f>ROUND(IF(AQ45="7",BH45,0),2)</f>
        <v>0</v>
      </c>
      <c r="AE45" s="55">
        <f>ROUND(IF(AQ45="7",BI45,0),2)</f>
        <v>0</v>
      </c>
      <c r="AF45" s="55">
        <f>ROUND(IF(AQ45="2",BH45,0),2)</f>
        <v>0</v>
      </c>
      <c r="AG45" s="55">
        <f>ROUND(IF(AQ45="2",BI45,0),2)</f>
        <v>0</v>
      </c>
      <c r="AH45" s="55">
        <f>ROUND(IF(AQ45="0",BJ45,0),2)</f>
        <v>0</v>
      </c>
      <c r="AI45" s="75" t="s">
        <v>108</v>
      </c>
      <c r="AJ45" s="55">
        <f>IF(AN45=0,L45,0)</f>
        <v>0</v>
      </c>
      <c r="AK45" s="55">
        <f>IF(AN45=12,L45,0)</f>
        <v>0</v>
      </c>
      <c r="AL45" s="55">
        <f>IF(AN45=21,L45,0)</f>
        <v>0</v>
      </c>
      <c r="AN45" s="55">
        <v>21</v>
      </c>
      <c r="AO45" s="55">
        <f>H45*0</f>
        <v>0</v>
      </c>
      <c r="AP45" s="55">
        <f>H45*(1-0)</f>
        <v>0</v>
      </c>
      <c r="AQ45" s="54" t="s">
        <v>179</v>
      </c>
      <c r="AV45" s="55">
        <f>ROUND(AW45+AX45,2)</f>
        <v>0</v>
      </c>
      <c r="AW45" s="55">
        <f>ROUND(G45*AO45,2)</f>
        <v>0</v>
      </c>
      <c r="AX45" s="55">
        <f>ROUND(G45*AP45,2)</f>
        <v>0</v>
      </c>
      <c r="AY45" s="54" t="s">
        <v>403</v>
      </c>
      <c r="AZ45" s="54" t="s">
        <v>541</v>
      </c>
      <c r="BA45" s="75" t="s">
        <v>499</v>
      </c>
      <c r="BC45" s="55">
        <f>AW45+AX45</f>
        <v>0</v>
      </c>
      <c r="BD45" s="55">
        <f>H45/(100-BE45)*100</f>
        <v>0</v>
      </c>
      <c r="BE45" s="55">
        <v>0</v>
      </c>
      <c r="BF45" s="55">
        <f>O45</f>
        <v>0</v>
      </c>
      <c r="BH45" s="55">
        <f>G45*AO45</f>
        <v>0</v>
      </c>
      <c r="BI45" s="55">
        <f>G45*AP45</f>
        <v>0</v>
      </c>
      <c r="BJ45" s="55">
        <f>G45*H45</f>
        <v>0</v>
      </c>
      <c r="BK45" s="54" t="s">
        <v>161</v>
      </c>
      <c r="BL45" s="55"/>
      <c r="BW45" s="55">
        <f>I45</f>
        <v>21</v>
      </c>
      <c r="BX45" s="16" t="s">
        <v>457</v>
      </c>
    </row>
    <row r="46" spans="1:76" ht="24" customHeight="1" x14ac:dyDescent="0.3">
      <c r="A46" s="94" t="s">
        <v>263</v>
      </c>
      <c r="B46" s="94" t="s">
        <v>108</v>
      </c>
      <c r="C46" s="94" t="s">
        <v>401</v>
      </c>
      <c r="D46" s="199" t="s">
        <v>560</v>
      </c>
      <c r="E46" s="199"/>
      <c r="F46" s="94" t="s">
        <v>323</v>
      </c>
      <c r="G46" s="96">
        <f>'Stavební rozpočet'!G168</f>
        <v>167.321</v>
      </c>
      <c r="H46" s="97">
        <f>'Stavební rozpočet'!H168</f>
        <v>0</v>
      </c>
      <c r="I46" s="98">
        <v>21</v>
      </c>
      <c r="J46" s="97">
        <f>ROUND(G46*AO46,2)</f>
        <v>0</v>
      </c>
      <c r="K46" s="97">
        <f>ROUND(G46*AP46,2)</f>
        <v>0</v>
      </c>
      <c r="L46" s="97">
        <f>ROUND(G46*H46,2)</f>
        <v>0</v>
      </c>
      <c r="M46" s="97">
        <f>L46*(1+BW46/100)</f>
        <v>0</v>
      </c>
      <c r="N46" s="97">
        <f>'Stavební rozpočet'!N168</f>
        <v>0</v>
      </c>
      <c r="O46" s="97">
        <f>G46*N46</f>
        <v>0</v>
      </c>
      <c r="P46" s="99" t="s">
        <v>156</v>
      </c>
      <c r="Z46" s="55">
        <f>ROUND(IF(AQ46="5",BJ46,0),2)</f>
        <v>0</v>
      </c>
      <c r="AB46" s="55">
        <f>ROUND(IF(AQ46="1",BH46,0),2)</f>
        <v>0</v>
      </c>
      <c r="AC46" s="55">
        <f>ROUND(IF(AQ46="1",BI46,0),2)</f>
        <v>0</v>
      </c>
      <c r="AD46" s="55">
        <f>ROUND(IF(AQ46="7",BH46,0),2)</f>
        <v>0</v>
      </c>
      <c r="AE46" s="55">
        <f>ROUND(IF(AQ46="7",BI46,0),2)</f>
        <v>0</v>
      </c>
      <c r="AF46" s="55">
        <f>ROUND(IF(AQ46="2",BH46,0),2)</f>
        <v>0</v>
      </c>
      <c r="AG46" s="55">
        <f>ROUND(IF(AQ46="2",BI46,0),2)</f>
        <v>0</v>
      </c>
      <c r="AH46" s="55">
        <f>ROUND(IF(AQ46="0",BJ46,0),2)</f>
        <v>0</v>
      </c>
      <c r="AI46" s="75" t="s">
        <v>108</v>
      </c>
      <c r="AJ46" s="55">
        <f>IF(AN46=0,L46,0)</f>
        <v>0</v>
      </c>
      <c r="AK46" s="55">
        <f>IF(AN46=12,L46,0)</f>
        <v>0</v>
      </c>
      <c r="AL46" s="55">
        <f>IF(AN46=21,L46,0)</f>
        <v>0</v>
      </c>
      <c r="AN46" s="55">
        <v>21</v>
      </c>
      <c r="AO46" s="55">
        <f>H46*0</f>
        <v>0</v>
      </c>
      <c r="AP46" s="55">
        <f>H46*(1-0)</f>
        <v>0</v>
      </c>
      <c r="AQ46" s="54" t="s">
        <v>179</v>
      </c>
      <c r="AV46" s="55">
        <f>ROUND(AW46+AX46,2)</f>
        <v>0</v>
      </c>
      <c r="AW46" s="55">
        <f>ROUND(G46*AO46,2)</f>
        <v>0</v>
      </c>
      <c r="AX46" s="55">
        <f>ROUND(G46*AP46,2)</f>
        <v>0</v>
      </c>
      <c r="AY46" s="54" t="s">
        <v>403</v>
      </c>
      <c r="AZ46" s="54" t="s">
        <v>541</v>
      </c>
      <c r="BA46" s="75" t="s">
        <v>499</v>
      </c>
      <c r="BC46" s="55">
        <f>AW46+AX46</f>
        <v>0</v>
      </c>
      <c r="BD46" s="55">
        <f>H46/(100-BE46)*100</f>
        <v>0</v>
      </c>
      <c r="BE46" s="55">
        <v>0</v>
      </c>
      <c r="BF46" s="55">
        <f>O46</f>
        <v>0</v>
      </c>
      <c r="BH46" s="55">
        <f>G46*AO46</f>
        <v>0</v>
      </c>
      <c r="BI46" s="55">
        <f>G46*AP46</f>
        <v>0</v>
      </c>
      <c r="BJ46" s="55">
        <f>G46*H46</f>
        <v>0</v>
      </c>
      <c r="BK46" s="54" t="s">
        <v>161</v>
      </c>
      <c r="BL46" s="55"/>
      <c r="BW46" s="55">
        <f>I46</f>
        <v>21</v>
      </c>
      <c r="BX46" s="16" t="s">
        <v>560</v>
      </c>
    </row>
    <row r="47" spans="1:76" ht="19.8" customHeight="1" x14ac:dyDescent="0.3">
      <c r="J47" s="191" t="s">
        <v>113</v>
      </c>
      <c r="K47" s="191"/>
      <c r="L47" s="129">
        <f>ROUND(L13+L18+L20+L27+L30+L34+L36+L40+L43,1)</f>
        <v>0</v>
      </c>
      <c r="M47" s="129">
        <f>ROUND(M13+M18+M20+M27+M30+M34+M36+M40+M43,1)</f>
        <v>0</v>
      </c>
    </row>
    <row r="48" spans="1:76" x14ac:dyDescent="0.3">
      <c r="A48"/>
    </row>
    <row r="49" spans="1:16" hidden="1" x14ac:dyDescent="0.3">
      <c r="A49" s="8"/>
      <c r="B49" s="8"/>
      <c r="C49" s="8"/>
      <c r="D49" s="8"/>
      <c r="E49" s="8"/>
      <c r="F49" s="8"/>
      <c r="G49" s="8"/>
      <c r="H49" s="8"/>
      <c r="I49" s="8"/>
      <c r="J49" s="8"/>
      <c r="K49" s="8"/>
      <c r="L49" s="8"/>
      <c r="M49" s="8"/>
      <c r="N49" s="8"/>
      <c r="O49" s="8"/>
      <c r="P49" s="8"/>
    </row>
  </sheetData>
  <mergeCells count="66">
    <mergeCell ref="J47:K47"/>
    <mergeCell ref="A49:P49"/>
    <mergeCell ref="D42:E42"/>
    <mergeCell ref="D43:E43"/>
    <mergeCell ref="D44:E44"/>
    <mergeCell ref="D45:E45"/>
    <mergeCell ref="D46:E46"/>
    <mergeCell ref="D37:E37"/>
    <mergeCell ref="D38:E38"/>
    <mergeCell ref="D39:E39"/>
    <mergeCell ref="D40:E40"/>
    <mergeCell ref="D41:E41"/>
    <mergeCell ref="D32:E32"/>
    <mergeCell ref="D33:E33"/>
    <mergeCell ref="D34:E34"/>
    <mergeCell ref="D35:E35"/>
    <mergeCell ref="D36:E36"/>
    <mergeCell ref="D27:E27"/>
    <mergeCell ref="D28:E28"/>
    <mergeCell ref="D29:E29"/>
    <mergeCell ref="D30:E30"/>
    <mergeCell ref="D31:E31"/>
    <mergeCell ref="D22:E22"/>
    <mergeCell ref="D23:E23"/>
    <mergeCell ref="D24:E24"/>
    <mergeCell ref="D25:E25"/>
    <mergeCell ref="D26:E26"/>
    <mergeCell ref="D17:E17"/>
    <mergeCell ref="D18:E18"/>
    <mergeCell ref="D19:E19"/>
    <mergeCell ref="D20:E20"/>
    <mergeCell ref="D21:E21"/>
    <mergeCell ref="D12:E12"/>
    <mergeCell ref="D13:E13"/>
    <mergeCell ref="D14:E14"/>
    <mergeCell ref="D15:E15"/>
    <mergeCell ref="D16:E16"/>
    <mergeCell ref="K8:P9"/>
    <mergeCell ref="D10:E10"/>
    <mergeCell ref="J10:L10"/>
    <mergeCell ref="N10:O10"/>
    <mergeCell ref="D11:E11"/>
    <mergeCell ref="A8:C9"/>
    <mergeCell ref="D8:E9"/>
    <mergeCell ref="F8:G9"/>
    <mergeCell ref="H8:H9"/>
    <mergeCell ref="I8:J9"/>
    <mergeCell ref="K4:P5"/>
    <mergeCell ref="A6:C7"/>
    <mergeCell ref="D6:E7"/>
    <mergeCell ref="F6:G7"/>
    <mergeCell ref="H6:H7"/>
    <mergeCell ref="I6:J7"/>
    <mergeCell ref="K6:P7"/>
    <mergeCell ref="A4:C5"/>
    <mergeCell ref="D4:E5"/>
    <mergeCell ref="F4:G5"/>
    <mergeCell ref="H4:H5"/>
    <mergeCell ref="I4:J5"/>
    <mergeCell ref="A1:P1"/>
    <mergeCell ref="A2:C3"/>
    <mergeCell ref="D2:E3"/>
    <mergeCell ref="F2:G3"/>
    <mergeCell ref="H2:H3"/>
    <mergeCell ref="I2:J3"/>
    <mergeCell ref="K2:P3"/>
  </mergeCells>
  <pageMargins left="0.39374999999999999" right="0.39374999999999999" top="0.59097222222222201" bottom="0.59097222222222201" header="0.511811023622047" footer="0.511811023622047"/>
  <pageSetup fitToHeight="0" orientation="landscape"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pageSetUpPr fitToPage="1"/>
  </sheetPr>
  <dimension ref="A1:H80"/>
  <sheetViews>
    <sheetView zoomScaleNormal="100" workbookViewId="0"/>
  </sheetViews>
  <sheetFormatPr defaultColWidth="12.109375" defaultRowHeight="14.4" x14ac:dyDescent="0.3"/>
  <cols>
    <col min="1" max="2" width="9.109375" style="22" customWidth="1"/>
    <col min="3" max="3" width="14.33203125" style="22" customWidth="1"/>
    <col min="4" max="4" width="42.88671875" style="65" customWidth="1"/>
    <col min="5" max="5" width="46.44140625" style="22" customWidth="1"/>
    <col min="6" max="6" width="24.109375" style="22" customWidth="1"/>
    <col min="7" max="7" width="15.6640625" style="22" customWidth="1"/>
    <col min="8" max="8" width="20" style="22" customWidth="1"/>
  </cols>
  <sheetData>
    <row r="1" spans="1:8" ht="39.75" customHeight="1" x14ac:dyDescent="0.25">
      <c r="A1" s="205" t="s">
        <v>929</v>
      </c>
      <c r="B1" s="205"/>
      <c r="C1" s="205"/>
      <c r="D1" s="205"/>
      <c r="E1" s="205"/>
      <c r="F1" s="205"/>
      <c r="G1" s="205"/>
      <c r="H1" s="205"/>
    </row>
    <row r="2" spans="1:8" ht="15" customHeight="1" x14ac:dyDescent="0.25">
      <c r="A2" s="13" t="s">
        <v>1</v>
      </c>
      <c r="B2" s="13"/>
      <c r="C2" s="12" t="str">
        <f>'Stavební rozpočet'!D2</f>
        <v>DEMOLICE PANELOVÉHO DOMU V HORNÍM PARKU</v>
      </c>
      <c r="D2" s="12"/>
      <c r="E2" s="11" t="s">
        <v>2</v>
      </c>
      <c r="F2" s="181" t="str">
        <f>'Stavební rozpočet'!J2</f>
        <v>MĚSTO ZNOJMO</v>
      </c>
      <c r="G2" s="181"/>
      <c r="H2" s="181"/>
    </row>
    <row r="3" spans="1:8" ht="13.2" x14ac:dyDescent="0.25">
      <c r="A3" s="13"/>
      <c r="B3" s="13"/>
      <c r="C3" s="12"/>
      <c r="D3" s="12"/>
      <c r="E3" s="11"/>
      <c r="F3" s="11"/>
      <c r="G3" s="181"/>
      <c r="H3" s="181"/>
    </row>
    <row r="4" spans="1:8" ht="15" customHeight="1" x14ac:dyDescent="0.25">
      <c r="A4" s="9" t="s">
        <v>4</v>
      </c>
      <c r="B4" s="9"/>
      <c r="C4" s="8" t="str">
        <f>'Stavební rozpočet'!D4</f>
        <v>Postupná demolice panelového domu</v>
      </c>
      <c r="D4" s="8"/>
      <c r="E4" s="8" t="s">
        <v>5</v>
      </c>
      <c r="F4" s="182" t="str">
        <f>'Stavební rozpočet'!J4</f>
        <v>Ing.  Roman Zvěřina, Dolní Česká 358/25, 669 02 Znojmo</v>
      </c>
      <c r="G4" s="182"/>
      <c r="H4" s="182"/>
    </row>
    <row r="5" spans="1:8" ht="13.2" x14ac:dyDescent="0.25">
      <c r="A5" s="9"/>
      <c r="B5" s="9"/>
      <c r="C5" s="8"/>
      <c r="D5" s="8"/>
      <c r="E5" s="8"/>
      <c r="F5" s="8"/>
      <c r="G5" s="182"/>
      <c r="H5" s="182"/>
    </row>
    <row r="6" spans="1:8" ht="15" customHeight="1" x14ac:dyDescent="0.25">
      <c r="A6" s="9" t="s">
        <v>7</v>
      </c>
      <c r="B6" s="9"/>
      <c r="C6" s="8" t="str">
        <f>'Stavební rozpočet'!D6</f>
        <v>k.ú.Znojmo-město parc.č.258/5</v>
      </c>
      <c r="D6" s="8"/>
      <c r="E6" s="8" t="s">
        <v>8</v>
      </c>
      <c r="F6" s="182" t="str">
        <f>'Stavební rozpočet'!J6</f>
        <v> </v>
      </c>
      <c r="G6" s="182"/>
      <c r="H6" s="182"/>
    </row>
    <row r="7" spans="1:8" ht="13.2" x14ac:dyDescent="0.25">
      <c r="A7" s="9"/>
      <c r="B7" s="9"/>
      <c r="C7" s="8"/>
      <c r="D7" s="8"/>
      <c r="E7" s="8"/>
      <c r="F7" s="8"/>
      <c r="G7" s="182"/>
      <c r="H7" s="182"/>
    </row>
    <row r="8" spans="1:8" ht="15" customHeight="1" x14ac:dyDescent="0.25">
      <c r="A8" s="9" t="s">
        <v>13</v>
      </c>
      <c r="B8" s="9"/>
      <c r="C8" s="8" t="str">
        <f>'Stavební rozpočet'!J8</f>
        <v>Bohuslav Hemala</v>
      </c>
      <c r="D8" s="8"/>
      <c r="E8" s="8" t="s">
        <v>95</v>
      </c>
      <c r="F8" s="182" t="str">
        <f>'Stavební rozpočet'!H8</f>
        <v>16.05.2025</v>
      </c>
      <c r="G8" s="182"/>
      <c r="H8" s="182"/>
    </row>
    <row r="9" spans="1:8" ht="13.2" x14ac:dyDescent="0.25">
      <c r="A9" s="9"/>
      <c r="B9" s="9"/>
      <c r="C9" s="8"/>
      <c r="D9" s="8"/>
      <c r="E9" s="8"/>
      <c r="F9" s="8"/>
      <c r="G9" s="182"/>
      <c r="H9" s="182"/>
    </row>
    <row r="10" spans="1:8" ht="15" customHeight="1" x14ac:dyDescent="0.25">
      <c r="A10" s="130" t="s">
        <v>122</v>
      </c>
      <c r="B10" s="131" t="s">
        <v>99</v>
      </c>
      <c r="C10" s="131" t="s">
        <v>123</v>
      </c>
      <c r="D10" s="206" t="s">
        <v>100</v>
      </c>
      <c r="E10" s="206"/>
      <c r="F10" s="131" t="s">
        <v>124</v>
      </c>
      <c r="G10" s="132" t="s">
        <v>125</v>
      </c>
      <c r="H10" s="133" t="s">
        <v>685</v>
      </c>
    </row>
    <row r="11" spans="1:8" ht="15" customHeight="1" x14ac:dyDescent="0.25">
      <c r="A11" s="89"/>
      <c r="B11" s="89" t="s">
        <v>686</v>
      </c>
      <c r="C11" s="89" t="s">
        <v>203</v>
      </c>
      <c r="D11" s="198" t="s">
        <v>467</v>
      </c>
      <c r="E11" s="198"/>
      <c r="F11" s="89"/>
      <c r="G11" s="92"/>
      <c r="H11" s="92"/>
    </row>
    <row r="12" spans="1:8" ht="15" customHeight="1" x14ac:dyDescent="0.25">
      <c r="A12" s="89"/>
      <c r="B12" s="89" t="s">
        <v>686</v>
      </c>
      <c r="C12" s="89" t="s">
        <v>206</v>
      </c>
      <c r="D12" s="198" t="s">
        <v>508</v>
      </c>
      <c r="E12" s="198"/>
      <c r="F12" s="89"/>
      <c r="G12" s="92"/>
      <c r="H12" s="92"/>
    </row>
    <row r="13" spans="1:8" ht="15" customHeight="1" x14ac:dyDescent="0.25">
      <c r="A13" s="89"/>
      <c r="B13" s="89" t="s">
        <v>686</v>
      </c>
      <c r="C13" s="89" t="s">
        <v>223</v>
      </c>
      <c r="D13" s="198" t="s">
        <v>474</v>
      </c>
      <c r="E13" s="198"/>
      <c r="F13" s="89"/>
      <c r="G13" s="92"/>
      <c r="H13" s="92"/>
    </row>
    <row r="14" spans="1:8" ht="15" customHeight="1" x14ac:dyDescent="0.25">
      <c r="A14" s="89"/>
      <c r="B14" s="89" t="s">
        <v>686</v>
      </c>
      <c r="C14" s="89" t="s">
        <v>228</v>
      </c>
      <c r="D14" s="198" t="s">
        <v>482</v>
      </c>
      <c r="E14" s="198"/>
      <c r="F14" s="89"/>
      <c r="G14" s="92"/>
      <c r="H14" s="92"/>
    </row>
    <row r="15" spans="1:8" ht="15" customHeight="1" x14ac:dyDescent="0.25">
      <c r="A15" s="89"/>
      <c r="B15" s="89" t="s">
        <v>686</v>
      </c>
      <c r="C15" s="89" t="s">
        <v>234</v>
      </c>
      <c r="D15" s="198" t="s">
        <v>523</v>
      </c>
      <c r="E15" s="198"/>
      <c r="F15" s="89"/>
      <c r="G15" s="92"/>
      <c r="H15" s="92"/>
    </row>
    <row r="16" spans="1:8" ht="15" customHeight="1" x14ac:dyDescent="0.25">
      <c r="A16" s="89"/>
      <c r="B16" s="89" t="s">
        <v>686</v>
      </c>
      <c r="C16" s="89" t="s">
        <v>266</v>
      </c>
      <c r="D16" s="198" t="s">
        <v>267</v>
      </c>
      <c r="E16" s="198"/>
      <c r="F16" s="89"/>
      <c r="G16" s="92"/>
      <c r="H16" s="92"/>
    </row>
    <row r="17" spans="1:8" ht="15" customHeight="1" x14ac:dyDescent="0.25">
      <c r="A17" s="89"/>
      <c r="B17" s="89" t="s">
        <v>686</v>
      </c>
      <c r="C17" s="89" t="s">
        <v>324</v>
      </c>
      <c r="D17" s="198" t="s">
        <v>325</v>
      </c>
      <c r="E17" s="198"/>
      <c r="F17" s="89"/>
      <c r="G17" s="92"/>
      <c r="H17" s="92"/>
    </row>
    <row r="18" spans="1:8" ht="15" customHeight="1" x14ac:dyDescent="0.25">
      <c r="A18" s="89"/>
      <c r="B18" s="89" t="s">
        <v>686</v>
      </c>
      <c r="C18" s="89" t="s">
        <v>548</v>
      </c>
      <c r="D18" s="198" t="s">
        <v>549</v>
      </c>
      <c r="E18" s="198"/>
      <c r="F18" s="89"/>
      <c r="G18" s="92"/>
      <c r="H18" s="92"/>
    </row>
    <row r="19" spans="1:8" ht="15" customHeight="1" x14ac:dyDescent="0.25">
      <c r="A19" s="89"/>
      <c r="B19" s="89" t="s">
        <v>686</v>
      </c>
      <c r="C19" s="89" t="s">
        <v>398</v>
      </c>
      <c r="D19" s="198" t="s">
        <v>399</v>
      </c>
      <c r="E19" s="198"/>
      <c r="F19" s="89"/>
      <c r="G19" s="92"/>
      <c r="H19" s="92"/>
    </row>
    <row r="20" spans="1:8" ht="15" customHeight="1" x14ac:dyDescent="0.25">
      <c r="A20" s="94" t="s">
        <v>152</v>
      </c>
      <c r="B20" s="94" t="s">
        <v>108</v>
      </c>
      <c r="C20" s="94" t="s">
        <v>496</v>
      </c>
      <c r="D20" s="199" t="s">
        <v>497</v>
      </c>
      <c r="E20" s="199"/>
      <c r="F20" s="94" t="s">
        <v>155</v>
      </c>
      <c r="G20" s="97">
        <v>108.72499999999999</v>
      </c>
      <c r="H20" s="97">
        <v>0</v>
      </c>
    </row>
    <row r="21" spans="1:8" x14ac:dyDescent="0.3">
      <c r="A21" s="134"/>
      <c r="B21" s="134"/>
      <c r="C21" s="134"/>
      <c r="D21" s="135" t="s">
        <v>820</v>
      </c>
      <c r="E21" s="207" t="s">
        <v>821</v>
      </c>
      <c r="F21" s="207"/>
      <c r="G21" s="137">
        <v>320</v>
      </c>
      <c r="H21" s="134"/>
    </row>
    <row r="22" spans="1:8" ht="13.2" x14ac:dyDescent="0.25">
      <c r="A22" s="94"/>
      <c r="B22" s="94"/>
      <c r="C22" s="94"/>
      <c r="D22" s="135" t="s">
        <v>822</v>
      </c>
      <c r="E22" s="207" t="s">
        <v>812</v>
      </c>
      <c r="F22" s="207"/>
      <c r="G22" s="137">
        <v>-22.5</v>
      </c>
      <c r="H22" s="99"/>
    </row>
    <row r="23" spans="1:8" ht="13.2" x14ac:dyDescent="0.25">
      <c r="A23" s="94"/>
      <c r="B23" s="94"/>
      <c r="C23" s="94"/>
      <c r="D23" s="135" t="s">
        <v>822</v>
      </c>
      <c r="E23" s="207" t="s">
        <v>813</v>
      </c>
      <c r="F23" s="207"/>
      <c r="G23" s="137">
        <v>-22.5</v>
      </c>
      <c r="H23" s="99"/>
    </row>
    <row r="24" spans="1:8" ht="13.2" x14ac:dyDescent="0.25">
      <c r="A24" s="94"/>
      <c r="B24" s="94"/>
      <c r="C24" s="94"/>
      <c r="D24" s="135" t="s">
        <v>823</v>
      </c>
      <c r="E24" s="207" t="s">
        <v>803</v>
      </c>
      <c r="F24" s="207"/>
      <c r="G24" s="137">
        <v>-166.27500000000001</v>
      </c>
      <c r="H24" s="99"/>
    </row>
    <row r="25" spans="1:8" ht="15" customHeight="1" x14ac:dyDescent="0.25">
      <c r="A25" s="94" t="s">
        <v>162</v>
      </c>
      <c r="B25" s="94" t="s">
        <v>108</v>
      </c>
      <c r="C25" s="94" t="s">
        <v>500</v>
      </c>
      <c r="D25" s="199" t="s">
        <v>501</v>
      </c>
      <c r="E25" s="199"/>
      <c r="F25" s="94" t="s">
        <v>212</v>
      </c>
      <c r="G25" s="97">
        <v>2</v>
      </c>
      <c r="H25" s="97">
        <v>0</v>
      </c>
    </row>
    <row r="26" spans="1:8" x14ac:dyDescent="0.3">
      <c r="A26" s="134"/>
      <c r="B26" s="134"/>
      <c r="C26" s="134"/>
      <c r="D26" s="135" t="s">
        <v>162</v>
      </c>
      <c r="E26" s="207"/>
      <c r="F26" s="207"/>
      <c r="G26" s="137">
        <v>2</v>
      </c>
      <c r="H26" s="134"/>
    </row>
    <row r="27" spans="1:8" ht="15" customHeight="1" x14ac:dyDescent="0.25">
      <c r="A27" s="94" t="s">
        <v>167</v>
      </c>
      <c r="B27" s="94" t="s">
        <v>108</v>
      </c>
      <c r="C27" s="94" t="s">
        <v>503</v>
      </c>
      <c r="D27" s="199" t="s">
        <v>504</v>
      </c>
      <c r="E27" s="199"/>
      <c r="F27" s="94" t="s">
        <v>212</v>
      </c>
      <c r="G27" s="97">
        <v>2</v>
      </c>
      <c r="H27" s="97">
        <v>0</v>
      </c>
    </row>
    <row r="28" spans="1:8" x14ac:dyDescent="0.3">
      <c r="A28" s="134"/>
      <c r="B28" s="134"/>
      <c r="C28" s="134"/>
      <c r="D28" s="135" t="s">
        <v>162</v>
      </c>
      <c r="E28" s="207"/>
      <c r="F28" s="207"/>
      <c r="G28" s="137">
        <v>2</v>
      </c>
      <c r="H28" s="134"/>
    </row>
    <row r="29" spans="1:8" ht="15" customHeight="1" x14ac:dyDescent="0.25">
      <c r="A29" s="94" t="s">
        <v>173</v>
      </c>
      <c r="B29" s="94" t="s">
        <v>108</v>
      </c>
      <c r="C29" s="94" t="s">
        <v>506</v>
      </c>
      <c r="D29" s="199" t="s">
        <v>507</v>
      </c>
      <c r="E29" s="199"/>
      <c r="F29" s="94" t="s">
        <v>366</v>
      </c>
      <c r="G29" s="97">
        <v>1.5</v>
      </c>
      <c r="H29" s="97">
        <v>0</v>
      </c>
    </row>
    <row r="30" spans="1:8" x14ac:dyDescent="0.3">
      <c r="A30" s="134"/>
      <c r="B30" s="134"/>
      <c r="C30" s="134"/>
      <c r="D30" s="135" t="s">
        <v>824</v>
      </c>
      <c r="E30" s="207"/>
      <c r="F30" s="207"/>
      <c r="G30" s="137">
        <v>1.5</v>
      </c>
      <c r="H30" s="134"/>
    </row>
    <row r="31" spans="1:8" ht="15" customHeight="1" x14ac:dyDescent="0.25">
      <c r="A31" s="94" t="s">
        <v>179</v>
      </c>
      <c r="B31" s="94" t="s">
        <v>108</v>
      </c>
      <c r="C31" s="94" t="s">
        <v>510</v>
      </c>
      <c r="D31" s="199" t="s">
        <v>511</v>
      </c>
      <c r="E31" s="199"/>
      <c r="F31" s="94" t="s">
        <v>366</v>
      </c>
      <c r="G31" s="97">
        <v>73.59</v>
      </c>
      <c r="H31" s="97">
        <v>0</v>
      </c>
    </row>
    <row r="32" spans="1:8" x14ac:dyDescent="0.3">
      <c r="A32" s="134"/>
      <c r="B32" s="134"/>
      <c r="C32" s="134"/>
      <c r="D32" s="135" t="s">
        <v>825</v>
      </c>
      <c r="E32" s="207"/>
      <c r="F32" s="207"/>
      <c r="G32" s="137">
        <v>73.59</v>
      </c>
      <c r="H32" s="134"/>
    </row>
    <row r="33" spans="1:8" ht="15" customHeight="1" x14ac:dyDescent="0.25">
      <c r="A33" s="94" t="s">
        <v>182</v>
      </c>
      <c r="B33" s="94" t="s">
        <v>108</v>
      </c>
      <c r="C33" s="94" t="s">
        <v>476</v>
      </c>
      <c r="D33" s="199" t="s">
        <v>477</v>
      </c>
      <c r="E33" s="199"/>
      <c r="F33" s="94" t="s">
        <v>366</v>
      </c>
      <c r="G33" s="97">
        <v>73.59</v>
      </c>
      <c r="H33" s="97">
        <v>0</v>
      </c>
    </row>
    <row r="34" spans="1:8" x14ac:dyDescent="0.3">
      <c r="A34" s="134"/>
      <c r="B34" s="134"/>
      <c r="C34" s="134"/>
      <c r="D34" s="135" t="s">
        <v>826</v>
      </c>
      <c r="E34" s="207" t="s">
        <v>827</v>
      </c>
      <c r="F34" s="207"/>
      <c r="G34" s="137">
        <v>73.59</v>
      </c>
      <c r="H34" s="134"/>
    </row>
    <row r="35" spans="1:8" ht="15" customHeight="1" x14ac:dyDescent="0.25">
      <c r="A35" s="94" t="s">
        <v>157</v>
      </c>
      <c r="B35" s="94" t="s">
        <v>108</v>
      </c>
      <c r="C35" s="94" t="s">
        <v>480</v>
      </c>
      <c r="D35" s="199" t="s">
        <v>481</v>
      </c>
      <c r="E35" s="199"/>
      <c r="F35" s="94" t="s">
        <v>366</v>
      </c>
      <c r="G35" s="97">
        <v>588.72</v>
      </c>
      <c r="H35" s="97">
        <v>0</v>
      </c>
    </row>
    <row r="36" spans="1:8" x14ac:dyDescent="0.3">
      <c r="A36" s="134"/>
      <c r="B36" s="134"/>
      <c r="C36" s="134"/>
      <c r="D36" s="135" t="s">
        <v>828</v>
      </c>
      <c r="E36" s="207"/>
      <c r="F36" s="207"/>
      <c r="G36" s="137">
        <v>588.72</v>
      </c>
      <c r="H36" s="134"/>
    </row>
    <row r="37" spans="1:8" ht="15" customHeight="1" x14ac:dyDescent="0.25">
      <c r="A37" s="94" t="s">
        <v>190</v>
      </c>
      <c r="B37" s="94" t="s">
        <v>108</v>
      </c>
      <c r="C37" s="94" t="s">
        <v>476</v>
      </c>
      <c r="D37" s="199" t="s">
        <v>477</v>
      </c>
      <c r="E37" s="199"/>
      <c r="F37" s="94" t="s">
        <v>366</v>
      </c>
      <c r="G37" s="97">
        <v>270.77800000000002</v>
      </c>
      <c r="H37" s="97">
        <v>0</v>
      </c>
    </row>
    <row r="38" spans="1:8" x14ac:dyDescent="0.3">
      <c r="A38" s="134"/>
      <c r="B38" s="134"/>
      <c r="C38" s="134"/>
      <c r="D38" s="135" t="s">
        <v>829</v>
      </c>
      <c r="E38" s="207" t="s">
        <v>830</v>
      </c>
      <c r="F38" s="207"/>
      <c r="G38" s="137">
        <v>270.77800000000002</v>
      </c>
      <c r="H38" s="134"/>
    </row>
    <row r="39" spans="1:8" ht="15" customHeight="1" x14ac:dyDescent="0.25">
      <c r="A39" s="94" t="s">
        <v>195</v>
      </c>
      <c r="B39" s="94" t="s">
        <v>108</v>
      </c>
      <c r="C39" s="94" t="s">
        <v>480</v>
      </c>
      <c r="D39" s="199" t="s">
        <v>481</v>
      </c>
      <c r="E39" s="199"/>
      <c r="F39" s="94" t="s">
        <v>366</v>
      </c>
      <c r="G39" s="97">
        <v>2707.78</v>
      </c>
      <c r="H39" s="97">
        <v>0</v>
      </c>
    </row>
    <row r="40" spans="1:8" x14ac:dyDescent="0.3">
      <c r="A40" s="134"/>
      <c r="B40" s="134"/>
      <c r="C40" s="134"/>
      <c r="D40" s="135" t="s">
        <v>831</v>
      </c>
      <c r="E40" s="207"/>
      <c r="F40" s="207"/>
      <c r="G40" s="137">
        <v>2707.78</v>
      </c>
      <c r="H40" s="134"/>
    </row>
    <row r="41" spans="1:8" ht="15" customHeight="1" x14ac:dyDescent="0.25">
      <c r="A41" s="94" t="s">
        <v>200</v>
      </c>
      <c r="B41" s="94" t="s">
        <v>108</v>
      </c>
      <c r="C41" s="94" t="s">
        <v>476</v>
      </c>
      <c r="D41" s="199" t="s">
        <v>477</v>
      </c>
      <c r="E41" s="199"/>
      <c r="F41" s="94" t="s">
        <v>366</v>
      </c>
      <c r="G41" s="97">
        <v>24.8</v>
      </c>
      <c r="H41" s="97">
        <v>0</v>
      </c>
    </row>
    <row r="42" spans="1:8" x14ac:dyDescent="0.3">
      <c r="A42" s="134"/>
      <c r="B42" s="134"/>
      <c r="C42" s="134"/>
      <c r="D42" s="135" t="s">
        <v>832</v>
      </c>
      <c r="E42" s="207" t="s">
        <v>833</v>
      </c>
      <c r="F42" s="207"/>
      <c r="G42" s="137">
        <v>24.8</v>
      </c>
      <c r="H42" s="134"/>
    </row>
    <row r="43" spans="1:8" ht="15" customHeight="1" x14ac:dyDescent="0.25">
      <c r="A43" s="94" t="s">
        <v>203</v>
      </c>
      <c r="B43" s="94" t="s">
        <v>108</v>
      </c>
      <c r="C43" s="94" t="s">
        <v>480</v>
      </c>
      <c r="D43" s="199" t="s">
        <v>481</v>
      </c>
      <c r="E43" s="199"/>
      <c r="F43" s="94" t="s">
        <v>366</v>
      </c>
      <c r="G43" s="97">
        <v>248</v>
      </c>
      <c r="H43" s="97">
        <v>0</v>
      </c>
    </row>
    <row r="44" spans="1:8" x14ac:dyDescent="0.3">
      <c r="A44" s="134"/>
      <c r="B44" s="134"/>
      <c r="C44" s="134"/>
      <c r="D44" s="135" t="s">
        <v>834</v>
      </c>
      <c r="E44" s="207"/>
      <c r="F44" s="207"/>
      <c r="G44" s="137">
        <v>248</v>
      </c>
      <c r="H44" s="134"/>
    </row>
    <row r="45" spans="1:8" ht="15" customHeight="1" x14ac:dyDescent="0.25">
      <c r="A45" s="94" t="s">
        <v>206</v>
      </c>
      <c r="B45" s="94" t="s">
        <v>108</v>
      </c>
      <c r="C45" s="94" t="s">
        <v>484</v>
      </c>
      <c r="D45" s="199" t="s">
        <v>520</v>
      </c>
      <c r="E45" s="199"/>
      <c r="F45" s="94" t="s">
        <v>366</v>
      </c>
      <c r="G45" s="97">
        <v>24.8</v>
      </c>
      <c r="H45" s="97">
        <v>0</v>
      </c>
    </row>
    <row r="46" spans="1:8" x14ac:dyDescent="0.3">
      <c r="A46" s="134"/>
      <c r="B46" s="134"/>
      <c r="C46" s="134"/>
      <c r="D46" s="135" t="s">
        <v>835</v>
      </c>
      <c r="E46" s="207"/>
      <c r="F46" s="207"/>
      <c r="G46" s="137">
        <v>24.8</v>
      </c>
      <c r="H46" s="134"/>
    </row>
    <row r="47" spans="1:8" ht="15" customHeight="1" x14ac:dyDescent="0.25">
      <c r="A47" s="105" t="s">
        <v>209</v>
      </c>
      <c r="B47" s="105" t="s">
        <v>108</v>
      </c>
      <c r="C47" s="105" t="s">
        <v>487</v>
      </c>
      <c r="D47" s="201" t="s">
        <v>522</v>
      </c>
      <c r="E47" s="201"/>
      <c r="F47" s="105" t="s">
        <v>323</v>
      </c>
      <c r="G47" s="108">
        <v>39.68</v>
      </c>
      <c r="H47" s="108">
        <v>0</v>
      </c>
    </row>
    <row r="48" spans="1:8" x14ac:dyDescent="0.3">
      <c r="A48" s="134"/>
      <c r="B48" s="134"/>
      <c r="C48" s="134"/>
      <c r="D48" s="135" t="s">
        <v>836</v>
      </c>
      <c r="E48" s="207"/>
      <c r="F48" s="207"/>
      <c r="G48" s="138">
        <v>39.68</v>
      </c>
      <c r="H48" s="134"/>
    </row>
    <row r="49" spans="1:8" ht="15" customHeight="1" x14ac:dyDescent="0.25">
      <c r="A49" s="94" t="s">
        <v>213</v>
      </c>
      <c r="B49" s="94" t="s">
        <v>108</v>
      </c>
      <c r="C49" s="94" t="s">
        <v>525</v>
      </c>
      <c r="D49" s="199" t="s">
        <v>526</v>
      </c>
      <c r="E49" s="199"/>
      <c r="F49" s="94" t="s">
        <v>155</v>
      </c>
      <c r="G49" s="97">
        <v>376.94400000000002</v>
      </c>
      <c r="H49" s="97">
        <v>0</v>
      </c>
    </row>
    <row r="50" spans="1:8" x14ac:dyDescent="0.3">
      <c r="A50" s="134"/>
      <c r="B50" s="134"/>
      <c r="C50" s="134"/>
      <c r="D50" s="135" t="s">
        <v>802</v>
      </c>
      <c r="E50" s="207" t="s">
        <v>837</v>
      </c>
      <c r="F50" s="207"/>
      <c r="G50" s="137">
        <v>166.27500000000001</v>
      </c>
      <c r="H50" s="134"/>
    </row>
    <row r="51" spans="1:8" ht="13.2" x14ac:dyDescent="0.25">
      <c r="A51" s="94"/>
      <c r="B51" s="94"/>
      <c r="C51" s="94"/>
      <c r="D51" s="135" t="s">
        <v>838</v>
      </c>
      <c r="E51" s="207" t="s">
        <v>839</v>
      </c>
      <c r="F51" s="207"/>
      <c r="G51" s="137">
        <v>87.165999999999997</v>
      </c>
      <c r="H51" s="99"/>
    </row>
    <row r="52" spans="1:8" ht="13.2" x14ac:dyDescent="0.25">
      <c r="A52" s="94"/>
      <c r="B52" s="94"/>
      <c r="C52" s="94"/>
      <c r="D52" s="135" t="s">
        <v>840</v>
      </c>
      <c r="E52" s="207" t="s">
        <v>841</v>
      </c>
      <c r="F52" s="207"/>
      <c r="G52" s="137">
        <v>36.506</v>
      </c>
      <c r="H52" s="99"/>
    </row>
    <row r="53" spans="1:8" ht="13.2" x14ac:dyDescent="0.25">
      <c r="A53" s="94"/>
      <c r="B53" s="94"/>
      <c r="C53" s="94"/>
      <c r="D53" s="135" t="s">
        <v>842</v>
      </c>
      <c r="E53" s="207" t="s">
        <v>843</v>
      </c>
      <c r="F53" s="207"/>
      <c r="G53" s="137">
        <v>31.58</v>
      </c>
      <c r="H53" s="99"/>
    </row>
    <row r="54" spans="1:8" ht="13.2" x14ac:dyDescent="0.25">
      <c r="A54" s="94"/>
      <c r="B54" s="94"/>
      <c r="C54" s="94"/>
      <c r="D54" s="135" t="s">
        <v>844</v>
      </c>
      <c r="E54" s="207" t="s">
        <v>845</v>
      </c>
      <c r="F54" s="207"/>
      <c r="G54" s="137">
        <v>55.417000000000002</v>
      </c>
      <c r="H54" s="99"/>
    </row>
    <row r="55" spans="1:8" ht="15" customHeight="1" x14ac:dyDescent="0.25">
      <c r="A55" s="105" t="s">
        <v>218</v>
      </c>
      <c r="B55" s="105" t="s">
        <v>108</v>
      </c>
      <c r="C55" s="105" t="s">
        <v>529</v>
      </c>
      <c r="D55" s="201" t="s">
        <v>530</v>
      </c>
      <c r="E55" s="201"/>
      <c r="F55" s="105" t="s">
        <v>323</v>
      </c>
      <c r="G55" s="108">
        <v>265.36799999999999</v>
      </c>
      <c r="H55" s="108">
        <v>0</v>
      </c>
    </row>
    <row r="56" spans="1:8" x14ac:dyDescent="0.3">
      <c r="A56" s="134"/>
      <c r="B56" s="134"/>
      <c r="C56" s="134"/>
      <c r="D56" s="135" t="s">
        <v>846</v>
      </c>
      <c r="E56" s="207"/>
      <c r="F56" s="207"/>
      <c r="G56" s="138">
        <v>241.244</v>
      </c>
      <c r="H56" s="134"/>
    </row>
    <row r="57" spans="1:8" ht="13.2" x14ac:dyDescent="0.25">
      <c r="A57" s="105"/>
      <c r="B57" s="105"/>
      <c r="C57" s="105"/>
      <c r="D57" s="135" t="s">
        <v>847</v>
      </c>
      <c r="E57" s="207"/>
      <c r="F57" s="207"/>
      <c r="G57" s="138">
        <v>24.123999999999999</v>
      </c>
      <c r="H57" s="110"/>
    </row>
    <row r="58" spans="1:8" ht="15" customHeight="1" x14ac:dyDescent="0.25">
      <c r="A58" s="94" t="s">
        <v>223</v>
      </c>
      <c r="B58" s="94" t="s">
        <v>108</v>
      </c>
      <c r="C58" s="94" t="s">
        <v>532</v>
      </c>
      <c r="D58" s="199" t="s">
        <v>533</v>
      </c>
      <c r="E58" s="199"/>
      <c r="F58" s="94" t="s">
        <v>155</v>
      </c>
      <c r="G58" s="97">
        <v>376.94400000000002</v>
      </c>
      <c r="H58" s="97">
        <v>0</v>
      </c>
    </row>
    <row r="59" spans="1:8" x14ac:dyDescent="0.3">
      <c r="A59" s="134"/>
      <c r="B59" s="134"/>
      <c r="C59" s="134"/>
      <c r="D59" s="135" t="s">
        <v>848</v>
      </c>
      <c r="E59" s="207"/>
      <c r="F59" s="207"/>
      <c r="G59" s="137">
        <v>376.94400000000002</v>
      </c>
      <c r="H59" s="134"/>
    </row>
    <row r="60" spans="1:8" ht="15" customHeight="1" x14ac:dyDescent="0.25">
      <c r="A60" s="94" t="s">
        <v>228</v>
      </c>
      <c r="B60" s="94" t="s">
        <v>108</v>
      </c>
      <c r="C60" s="94" t="s">
        <v>535</v>
      </c>
      <c r="D60" s="199" t="s">
        <v>536</v>
      </c>
      <c r="E60" s="199"/>
      <c r="F60" s="94" t="s">
        <v>212</v>
      </c>
      <c r="G60" s="97">
        <v>1</v>
      </c>
      <c r="H60" s="97">
        <v>0</v>
      </c>
    </row>
    <row r="61" spans="1:8" x14ac:dyDescent="0.3">
      <c r="A61" s="134"/>
      <c r="B61" s="134"/>
      <c r="C61" s="134"/>
      <c r="D61" s="135" t="s">
        <v>152</v>
      </c>
      <c r="E61" s="207"/>
      <c r="F61" s="207"/>
      <c r="G61" s="137">
        <v>1</v>
      </c>
      <c r="H61" s="134"/>
    </row>
    <row r="62" spans="1:8" ht="15" customHeight="1" x14ac:dyDescent="0.25">
      <c r="A62" s="94" t="s">
        <v>234</v>
      </c>
      <c r="B62" s="94" t="s">
        <v>108</v>
      </c>
      <c r="C62" s="94" t="s">
        <v>539</v>
      </c>
      <c r="D62" s="199" t="s">
        <v>540</v>
      </c>
      <c r="E62" s="199"/>
      <c r="F62" s="94" t="s">
        <v>366</v>
      </c>
      <c r="G62" s="97">
        <v>12.04</v>
      </c>
      <c r="H62" s="97">
        <v>0</v>
      </c>
    </row>
    <row r="63" spans="1:8" x14ac:dyDescent="0.3">
      <c r="A63" s="134"/>
      <c r="B63" s="134"/>
      <c r="C63" s="134"/>
      <c r="D63" s="135" t="s">
        <v>849</v>
      </c>
      <c r="E63" s="207" t="s">
        <v>850</v>
      </c>
      <c r="F63" s="207"/>
      <c r="G63" s="137">
        <v>12.04</v>
      </c>
      <c r="H63" s="134"/>
    </row>
    <row r="64" spans="1:8" ht="15" customHeight="1" x14ac:dyDescent="0.25">
      <c r="A64" s="94" t="s">
        <v>239</v>
      </c>
      <c r="B64" s="94" t="s">
        <v>108</v>
      </c>
      <c r="C64" s="94" t="s">
        <v>543</v>
      </c>
      <c r="D64" s="199" t="s">
        <v>544</v>
      </c>
      <c r="E64" s="199"/>
      <c r="F64" s="94" t="s">
        <v>366</v>
      </c>
      <c r="G64" s="97">
        <v>23.64</v>
      </c>
      <c r="H64" s="97">
        <v>0</v>
      </c>
    </row>
    <row r="65" spans="1:8" x14ac:dyDescent="0.3">
      <c r="A65" s="134"/>
      <c r="B65" s="134"/>
      <c r="C65" s="134"/>
      <c r="D65" s="135" t="s">
        <v>851</v>
      </c>
      <c r="E65" s="207"/>
      <c r="F65" s="207"/>
      <c r="G65" s="137">
        <v>23.64</v>
      </c>
      <c r="H65" s="134"/>
    </row>
    <row r="66" spans="1:8" ht="15" customHeight="1" x14ac:dyDescent="0.25">
      <c r="A66" s="94" t="s">
        <v>244</v>
      </c>
      <c r="B66" s="94" t="s">
        <v>108</v>
      </c>
      <c r="C66" s="94" t="s">
        <v>546</v>
      </c>
      <c r="D66" s="199" t="s">
        <v>547</v>
      </c>
      <c r="E66" s="199"/>
      <c r="F66" s="94" t="s">
        <v>366</v>
      </c>
      <c r="G66" s="97">
        <v>46.371000000000002</v>
      </c>
      <c r="H66" s="97">
        <v>0</v>
      </c>
    </row>
    <row r="67" spans="1:8" x14ac:dyDescent="0.3">
      <c r="A67" s="134"/>
      <c r="B67" s="134"/>
      <c r="C67" s="134"/>
      <c r="D67" s="135" t="s">
        <v>852</v>
      </c>
      <c r="E67" s="207"/>
      <c r="F67" s="207"/>
      <c r="G67" s="137">
        <v>46.371000000000002</v>
      </c>
      <c r="H67" s="134"/>
    </row>
    <row r="68" spans="1:8" ht="15" customHeight="1" x14ac:dyDescent="0.25">
      <c r="A68" s="94" t="s">
        <v>250</v>
      </c>
      <c r="B68" s="94" t="s">
        <v>108</v>
      </c>
      <c r="C68" s="94" t="s">
        <v>551</v>
      </c>
      <c r="D68" s="199" t="s">
        <v>552</v>
      </c>
      <c r="E68" s="199"/>
      <c r="F68" s="94" t="s">
        <v>366</v>
      </c>
      <c r="G68" s="97">
        <v>1.5</v>
      </c>
      <c r="H68" s="97">
        <v>0</v>
      </c>
    </row>
    <row r="69" spans="1:8" x14ac:dyDescent="0.3">
      <c r="A69" s="134"/>
      <c r="B69" s="134"/>
      <c r="C69" s="134"/>
      <c r="D69" s="135" t="s">
        <v>824</v>
      </c>
      <c r="E69" s="207"/>
      <c r="F69" s="207"/>
      <c r="G69" s="137">
        <v>1.5</v>
      </c>
      <c r="H69" s="134"/>
    </row>
    <row r="70" spans="1:8" ht="15" customHeight="1" x14ac:dyDescent="0.25">
      <c r="A70" s="94" t="s">
        <v>254</v>
      </c>
      <c r="B70" s="94" t="s">
        <v>108</v>
      </c>
      <c r="C70" s="94" t="s">
        <v>555</v>
      </c>
      <c r="D70" s="199" t="s">
        <v>556</v>
      </c>
      <c r="E70" s="199"/>
      <c r="F70" s="94" t="s">
        <v>366</v>
      </c>
      <c r="G70" s="97">
        <v>12</v>
      </c>
      <c r="H70" s="97">
        <v>0</v>
      </c>
    </row>
    <row r="71" spans="1:8" x14ac:dyDescent="0.3">
      <c r="A71" s="134"/>
      <c r="B71" s="134"/>
      <c r="C71" s="134"/>
      <c r="D71" s="135" t="s">
        <v>853</v>
      </c>
      <c r="E71" s="207"/>
      <c r="F71" s="207"/>
      <c r="G71" s="137">
        <v>12</v>
      </c>
      <c r="H71" s="134"/>
    </row>
    <row r="72" spans="1:8" ht="15" customHeight="1" x14ac:dyDescent="0.25">
      <c r="A72" s="94" t="s">
        <v>257</v>
      </c>
      <c r="B72" s="94" t="s">
        <v>108</v>
      </c>
      <c r="C72" s="94" t="s">
        <v>453</v>
      </c>
      <c r="D72" s="199" t="s">
        <v>454</v>
      </c>
      <c r="E72" s="199"/>
      <c r="F72" s="94" t="s">
        <v>323</v>
      </c>
      <c r="G72" s="97">
        <v>167.53100000000001</v>
      </c>
      <c r="H72" s="97">
        <v>0</v>
      </c>
    </row>
    <row r="73" spans="1:8" x14ac:dyDescent="0.3">
      <c r="A73" s="134"/>
      <c r="B73" s="134"/>
      <c r="C73" s="134"/>
      <c r="D73" s="135" t="s">
        <v>854</v>
      </c>
      <c r="E73" s="207"/>
      <c r="F73" s="207"/>
      <c r="G73" s="137">
        <v>167.53100000000001</v>
      </c>
      <c r="H73" s="134"/>
    </row>
    <row r="74" spans="1:8" ht="15" customHeight="1" x14ac:dyDescent="0.25">
      <c r="A74" s="94" t="s">
        <v>260</v>
      </c>
      <c r="B74" s="94" t="s">
        <v>108</v>
      </c>
      <c r="C74" s="94" t="s">
        <v>456</v>
      </c>
      <c r="D74" s="199" t="s">
        <v>457</v>
      </c>
      <c r="E74" s="199"/>
      <c r="F74" s="94" t="s">
        <v>323</v>
      </c>
      <c r="G74" s="97">
        <v>1340.248</v>
      </c>
      <c r="H74" s="97">
        <v>0</v>
      </c>
    </row>
    <row r="75" spans="1:8" x14ac:dyDescent="0.3">
      <c r="A75" s="134"/>
      <c r="B75" s="134"/>
      <c r="C75" s="134"/>
      <c r="D75" s="135" t="s">
        <v>855</v>
      </c>
      <c r="E75" s="207"/>
      <c r="F75" s="207"/>
      <c r="G75" s="137">
        <v>1340.248</v>
      </c>
      <c r="H75" s="134"/>
    </row>
    <row r="76" spans="1:8" ht="15" customHeight="1" x14ac:dyDescent="0.25">
      <c r="A76" s="94" t="s">
        <v>263</v>
      </c>
      <c r="B76" s="94" t="s">
        <v>108</v>
      </c>
      <c r="C76" s="94" t="s">
        <v>401</v>
      </c>
      <c r="D76" s="199" t="s">
        <v>560</v>
      </c>
      <c r="E76" s="199"/>
      <c r="F76" s="94" t="s">
        <v>323</v>
      </c>
      <c r="G76" s="97">
        <v>167.321</v>
      </c>
      <c r="H76" s="97">
        <v>0</v>
      </c>
    </row>
    <row r="77" spans="1:8" x14ac:dyDescent="0.3">
      <c r="A77" s="134"/>
      <c r="B77" s="134"/>
      <c r="C77" s="134"/>
      <c r="D77" s="135" t="s">
        <v>856</v>
      </c>
      <c r="E77" s="207"/>
      <c r="F77" s="207"/>
      <c r="G77" s="137">
        <v>167.321</v>
      </c>
      <c r="H77" s="134"/>
    </row>
    <row r="79" spans="1:8" x14ac:dyDescent="0.3">
      <c r="A79"/>
    </row>
    <row r="80" spans="1:8" hidden="1" x14ac:dyDescent="0.3">
      <c r="A80" s="8"/>
      <c r="B80" s="8"/>
      <c r="C80" s="8"/>
      <c r="D80" s="8"/>
      <c r="E80" s="8"/>
      <c r="F80" s="8"/>
      <c r="G80" s="8"/>
    </row>
  </sheetData>
  <mergeCells count="86">
    <mergeCell ref="D76:E76"/>
    <mergeCell ref="E77:F77"/>
    <mergeCell ref="A80:G80"/>
    <mergeCell ref="E71:F71"/>
    <mergeCell ref="D72:E72"/>
    <mergeCell ref="E73:F73"/>
    <mergeCell ref="D74:E74"/>
    <mergeCell ref="E75:F75"/>
    <mergeCell ref="D66:E66"/>
    <mergeCell ref="E67:F67"/>
    <mergeCell ref="D68:E68"/>
    <mergeCell ref="E69:F69"/>
    <mergeCell ref="D70:E70"/>
    <mergeCell ref="E61:F61"/>
    <mergeCell ref="D62:E62"/>
    <mergeCell ref="E63:F63"/>
    <mergeCell ref="D64:E64"/>
    <mergeCell ref="E65:F65"/>
    <mergeCell ref="E56:F56"/>
    <mergeCell ref="E57:F57"/>
    <mergeCell ref="D58:E58"/>
    <mergeCell ref="E59:F59"/>
    <mergeCell ref="D60:E60"/>
    <mergeCell ref="E51:F51"/>
    <mergeCell ref="E52:F52"/>
    <mergeCell ref="E53:F53"/>
    <mergeCell ref="E54:F54"/>
    <mergeCell ref="D55:E55"/>
    <mergeCell ref="E46:F46"/>
    <mergeCell ref="D47:E47"/>
    <mergeCell ref="E48:F48"/>
    <mergeCell ref="D49:E49"/>
    <mergeCell ref="E50:F50"/>
    <mergeCell ref="D41:E41"/>
    <mergeCell ref="E42:F42"/>
    <mergeCell ref="D43:E43"/>
    <mergeCell ref="E44:F44"/>
    <mergeCell ref="D45:E45"/>
    <mergeCell ref="E36:F36"/>
    <mergeCell ref="D37:E37"/>
    <mergeCell ref="E38:F38"/>
    <mergeCell ref="D39:E39"/>
    <mergeCell ref="E40:F40"/>
    <mergeCell ref="D31:E31"/>
    <mergeCell ref="E32:F32"/>
    <mergeCell ref="D33:E33"/>
    <mergeCell ref="E34:F34"/>
    <mergeCell ref="D35:E35"/>
    <mergeCell ref="E26:F26"/>
    <mergeCell ref="D27:E27"/>
    <mergeCell ref="E28:F28"/>
    <mergeCell ref="D29:E29"/>
    <mergeCell ref="E30:F30"/>
    <mergeCell ref="E21:F21"/>
    <mergeCell ref="E22:F22"/>
    <mergeCell ref="E23:F23"/>
    <mergeCell ref="E24:F24"/>
    <mergeCell ref="D25:E25"/>
    <mergeCell ref="D16:E16"/>
    <mergeCell ref="D17:E17"/>
    <mergeCell ref="D18:E18"/>
    <mergeCell ref="D19:E19"/>
    <mergeCell ref="D20:E20"/>
    <mergeCell ref="D11:E11"/>
    <mergeCell ref="D12:E12"/>
    <mergeCell ref="D13:E13"/>
    <mergeCell ref="D14:E14"/>
    <mergeCell ref="D15:E15"/>
    <mergeCell ref="A8:B9"/>
    <mergeCell ref="C8:D9"/>
    <mergeCell ref="E8:E9"/>
    <mergeCell ref="F8:H9"/>
    <mergeCell ref="D10:E10"/>
    <mergeCell ref="A4:B5"/>
    <mergeCell ref="C4:D5"/>
    <mergeCell ref="E4:E5"/>
    <mergeCell ref="F4:H5"/>
    <mergeCell ref="A6:B7"/>
    <mergeCell ref="C6:D7"/>
    <mergeCell ref="E6:E7"/>
    <mergeCell ref="F6:H7"/>
    <mergeCell ref="A1:H1"/>
    <mergeCell ref="A2:B3"/>
    <mergeCell ref="C2:D3"/>
    <mergeCell ref="E2:E3"/>
    <mergeCell ref="F2:H3"/>
  </mergeCells>
  <pageMargins left="0.39374999999999999" right="0.39374999999999999" top="0.59097222222222201" bottom="0.59097222222222201" header="0.511811023622047" footer="0.511811023622047"/>
  <pageSetup fitToHeight="0"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75"/>
  <sheetViews>
    <sheetView tabSelected="1" zoomScaleNormal="100" workbookViewId="0">
      <selection activeCell="A75" sqref="A75:I75"/>
    </sheetView>
  </sheetViews>
  <sheetFormatPr defaultColWidth="12.109375" defaultRowHeight="14.4" x14ac:dyDescent="0.3"/>
  <cols>
    <col min="1" max="1" width="18.21875" style="22" customWidth="1"/>
    <col min="2" max="2" width="12.88671875" style="22" customWidth="1"/>
    <col min="3" max="3" width="27.109375" style="22" customWidth="1"/>
    <col min="4" max="4" width="19.21875" style="22" customWidth="1"/>
    <col min="5" max="5" width="14" style="22" customWidth="1"/>
    <col min="6" max="6" width="27.109375" style="22" customWidth="1"/>
    <col min="7" max="7" width="19.88671875" style="22" customWidth="1"/>
    <col min="8" max="8" width="12.88671875" style="22" customWidth="1"/>
    <col min="9" max="9" width="27.109375" style="22" customWidth="1"/>
  </cols>
  <sheetData>
    <row r="1" spans="1:9" ht="39.75" customHeight="1" x14ac:dyDescent="0.25">
      <c r="A1" s="150" t="s">
        <v>30</v>
      </c>
      <c r="B1" s="150"/>
      <c r="C1" s="150"/>
      <c r="D1" s="150"/>
      <c r="E1" s="150"/>
      <c r="F1" s="150"/>
      <c r="G1" s="150"/>
      <c r="H1" s="23"/>
      <c r="I1" s="23"/>
    </row>
    <row r="2" spans="1:9" ht="15" customHeight="1" x14ac:dyDescent="0.25">
      <c r="A2" s="13" t="s">
        <v>1</v>
      </c>
      <c r="B2" s="13"/>
      <c r="C2" s="12" t="str">
        <f>'Stavební rozpočet'!D2</f>
        <v>DEMOLICE PANELOVÉHO DOMU V HORNÍM PARKU</v>
      </c>
      <c r="D2" s="12"/>
      <c r="E2" s="11" t="s">
        <v>2</v>
      </c>
      <c r="F2" s="11" t="str">
        <f>'Stavební rozpočet'!J2</f>
        <v>MĚSTO ZNOJMO</v>
      </c>
      <c r="G2" s="11"/>
      <c r="H2" s="11" t="s">
        <v>3</v>
      </c>
      <c r="I2" s="10"/>
    </row>
    <row r="3" spans="1:9" ht="15" customHeight="1" x14ac:dyDescent="0.25">
      <c r="A3" s="13"/>
      <c r="B3" s="13"/>
      <c r="C3" s="12"/>
      <c r="D3" s="12"/>
      <c r="E3" s="11"/>
      <c r="F3" s="11"/>
      <c r="G3" s="11"/>
      <c r="H3" s="11"/>
      <c r="I3" s="10"/>
    </row>
    <row r="4" spans="1:9" ht="15" customHeight="1" x14ac:dyDescent="0.25">
      <c r="A4" s="9" t="s">
        <v>4</v>
      </c>
      <c r="B4" s="9"/>
      <c r="C4" s="8" t="str">
        <f>'Stavební rozpočet'!D4</f>
        <v>Postupná demolice panelového domu</v>
      </c>
      <c r="D4" s="8"/>
      <c r="E4" s="8" t="s">
        <v>5</v>
      </c>
      <c r="F4" s="8" t="str">
        <f>'Stavební rozpočet'!J4</f>
        <v>Ing.  Roman Zvěřina, Dolní Česká 358/25, 669 02 Znojmo</v>
      </c>
      <c r="G4" s="8"/>
      <c r="H4" s="8" t="s">
        <v>3</v>
      </c>
      <c r="I4" s="7" t="s">
        <v>6</v>
      </c>
    </row>
    <row r="5" spans="1:9" ht="15" customHeight="1" x14ac:dyDescent="0.25">
      <c r="A5" s="9"/>
      <c r="B5" s="9"/>
      <c r="C5" s="8"/>
      <c r="D5" s="8"/>
      <c r="E5" s="8"/>
      <c r="F5" s="8"/>
      <c r="G5" s="8"/>
      <c r="H5" s="8"/>
      <c r="I5" s="7"/>
    </row>
    <row r="6" spans="1:9" ht="15" customHeight="1" x14ac:dyDescent="0.25">
      <c r="A6" s="9" t="s">
        <v>7</v>
      </c>
      <c r="B6" s="9"/>
      <c r="C6" s="8" t="str">
        <f>'Stavební rozpočet'!D6</f>
        <v>k.ú.Znojmo-město parc.č.258/5</v>
      </c>
      <c r="D6" s="8"/>
      <c r="E6" s="8" t="s">
        <v>8</v>
      </c>
      <c r="F6" s="8" t="str">
        <f>'Stavební rozpočet'!J6</f>
        <v> </v>
      </c>
      <c r="G6" s="8"/>
      <c r="H6" s="8" t="s">
        <v>3</v>
      </c>
      <c r="I6" s="7"/>
    </row>
    <row r="7" spans="1:9" ht="15" customHeight="1" x14ac:dyDescent="0.25">
      <c r="A7" s="9"/>
      <c r="B7" s="9"/>
      <c r="C7" s="8"/>
      <c r="D7" s="8"/>
      <c r="E7" s="8"/>
      <c r="F7" s="8"/>
      <c r="G7" s="8"/>
      <c r="H7" s="8"/>
      <c r="I7" s="7"/>
    </row>
    <row r="8" spans="1:9" ht="15" customHeight="1" x14ac:dyDescent="0.25">
      <c r="A8" s="9" t="s">
        <v>9</v>
      </c>
      <c r="B8" s="9"/>
      <c r="C8" s="8" t="str">
        <f>'Stavební rozpočet'!H4</f>
        <v xml:space="preserve"> </v>
      </c>
      <c r="D8" s="8"/>
      <c r="E8" s="8" t="s">
        <v>10</v>
      </c>
      <c r="F8" s="8" t="str">
        <f>'Stavební rozpočet'!H6</f>
        <v xml:space="preserve"> </v>
      </c>
      <c r="G8" s="8"/>
      <c r="H8" s="6" t="s">
        <v>11</v>
      </c>
      <c r="I8" s="5">
        <v>159</v>
      </c>
    </row>
    <row r="9" spans="1:9" ht="13.2" x14ac:dyDescent="0.25">
      <c r="A9" s="9"/>
      <c r="B9" s="9"/>
      <c r="C9" s="8"/>
      <c r="D9" s="8"/>
      <c r="E9" s="8"/>
      <c r="F9" s="8"/>
      <c r="G9" s="8"/>
      <c r="H9" s="6"/>
      <c r="I9" s="5"/>
    </row>
    <row r="10" spans="1:9" ht="15" customHeight="1" x14ac:dyDescent="0.25">
      <c r="A10" s="4" t="s">
        <v>12</v>
      </c>
      <c r="B10" s="4"/>
      <c r="C10" s="3" t="str">
        <f>'Stavební rozpočet'!D8</f>
        <v>80331</v>
      </c>
      <c r="D10" s="3"/>
      <c r="E10" s="3" t="s">
        <v>13</v>
      </c>
      <c r="F10" s="3" t="str">
        <f>'Stavební rozpočet'!J8</f>
        <v>Bohuslav Hemala</v>
      </c>
      <c r="G10" s="3"/>
      <c r="H10" s="2" t="s">
        <v>14</v>
      </c>
      <c r="I10" s="1" t="str">
        <f>'Stavební rozpočet'!H8</f>
        <v>16.05.2025</v>
      </c>
    </row>
    <row r="11" spans="1:9" ht="13.2" x14ac:dyDescent="0.25">
      <c r="A11" s="4"/>
      <c r="B11" s="4"/>
      <c r="C11" s="3"/>
      <c r="D11" s="3"/>
      <c r="E11" s="3"/>
      <c r="F11" s="3"/>
      <c r="G11" s="3"/>
      <c r="H11" s="2"/>
      <c r="I11" s="1"/>
    </row>
    <row r="12" spans="1:9" ht="22.8" x14ac:dyDescent="0.25">
      <c r="A12" s="151" t="s">
        <v>31</v>
      </c>
      <c r="B12" s="151"/>
      <c r="C12" s="151"/>
      <c r="D12" s="151"/>
      <c r="E12" s="151"/>
      <c r="F12" s="151"/>
      <c r="G12" s="151"/>
      <c r="H12" s="151"/>
      <c r="I12" s="151"/>
    </row>
    <row r="13" spans="1:9" ht="26.25" customHeight="1" x14ac:dyDescent="0.25">
      <c r="A13" s="24" t="s">
        <v>32</v>
      </c>
      <c r="B13" s="152" t="s">
        <v>33</v>
      </c>
      <c r="C13" s="152"/>
      <c r="D13" s="25" t="s">
        <v>34</v>
      </c>
      <c r="E13" s="152" t="s">
        <v>35</v>
      </c>
      <c r="F13" s="152"/>
      <c r="G13" s="25"/>
      <c r="H13" s="152"/>
      <c r="I13" s="152"/>
    </row>
    <row r="14" spans="1:9" ht="15.6" x14ac:dyDescent="0.25">
      <c r="A14" s="26" t="s">
        <v>36</v>
      </c>
      <c r="B14" s="27" t="s">
        <v>37</v>
      </c>
      <c r="C14" s="28">
        <f>SUM('Stavební rozpočet'!AB12:AB430)</f>
        <v>0</v>
      </c>
      <c r="D14" s="153" t="s">
        <v>38</v>
      </c>
      <c r="E14" s="153"/>
      <c r="F14" s="28">
        <f>VORN!I15</f>
        <v>0</v>
      </c>
      <c r="G14" s="153"/>
      <c r="H14" s="153"/>
      <c r="I14" s="28">
        <f>VORN!I21</f>
        <v>0</v>
      </c>
    </row>
    <row r="15" spans="1:9" ht="15.6" x14ac:dyDescent="0.25">
      <c r="A15" s="29"/>
      <c r="B15" s="27" t="s">
        <v>39</v>
      </c>
      <c r="C15" s="28">
        <f>SUM('Stavební rozpočet'!AC12:AC430)</f>
        <v>0</v>
      </c>
      <c r="D15" s="153" t="s">
        <v>40</v>
      </c>
      <c r="E15" s="153"/>
      <c r="F15" s="28">
        <f>VORN!I16</f>
        <v>0</v>
      </c>
      <c r="G15" s="153"/>
      <c r="H15" s="153"/>
      <c r="I15" s="28">
        <f>VORN!I22</f>
        <v>0</v>
      </c>
    </row>
    <row r="16" spans="1:9" ht="15.6" x14ac:dyDescent="0.25">
      <c r="A16" s="26" t="s">
        <v>41</v>
      </c>
      <c r="B16" s="27" t="s">
        <v>37</v>
      </c>
      <c r="C16" s="28">
        <f>SUM('Stavební rozpočet'!AD12:AD430)</f>
        <v>0</v>
      </c>
      <c r="D16" s="153" t="s">
        <v>42</v>
      </c>
      <c r="E16" s="153"/>
      <c r="F16" s="28">
        <f>VORN!I17</f>
        <v>0</v>
      </c>
      <c r="G16" s="153"/>
      <c r="H16" s="153"/>
      <c r="I16" s="28">
        <f>VORN!I23</f>
        <v>0</v>
      </c>
    </row>
    <row r="17" spans="1:9" ht="15.6" x14ac:dyDescent="0.25">
      <c r="A17" s="29"/>
      <c r="B17" s="27" t="s">
        <v>39</v>
      </c>
      <c r="C17" s="28">
        <f>SUM('Stavební rozpočet'!AE12:AE430)</f>
        <v>0</v>
      </c>
      <c r="D17" s="153"/>
      <c r="E17" s="153"/>
      <c r="F17" s="30"/>
      <c r="G17" s="153"/>
      <c r="H17" s="153"/>
      <c r="I17" s="28">
        <f>VORN!I24</f>
        <v>0</v>
      </c>
    </row>
    <row r="18" spans="1:9" ht="15.6" x14ac:dyDescent="0.25">
      <c r="A18" s="26" t="s">
        <v>43</v>
      </c>
      <c r="B18" s="27" t="s">
        <v>37</v>
      </c>
      <c r="C18" s="28">
        <f>SUM('Stavební rozpočet'!AF12:AF430)</f>
        <v>0</v>
      </c>
      <c r="D18" s="153"/>
      <c r="E18" s="153"/>
      <c r="F18" s="30"/>
      <c r="G18" s="153"/>
      <c r="H18" s="153"/>
      <c r="I18" s="28">
        <f>VORN!I25</f>
        <v>0</v>
      </c>
    </row>
    <row r="19" spans="1:9" ht="15.6" x14ac:dyDescent="0.25">
      <c r="A19" s="29"/>
      <c r="B19" s="27" t="s">
        <v>39</v>
      </c>
      <c r="C19" s="28">
        <f>SUM('Stavební rozpočet'!AG12:AG430)</f>
        <v>0</v>
      </c>
      <c r="D19" s="153"/>
      <c r="E19" s="153"/>
      <c r="F19" s="30"/>
      <c r="G19" s="153"/>
      <c r="H19" s="153"/>
      <c r="I19" s="28">
        <f>VORN!I26</f>
        <v>0</v>
      </c>
    </row>
    <row r="20" spans="1:9" ht="15.6" x14ac:dyDescent="0.25">
      <c r="A20" s="154" t="s">
        <v>44</v>
      </c>
      <c r="B20" s="154"/>
      <c r="C20" s="28">
        <f>SUM('Stavební rozpočet'!AH12:AH430)</f>
        <v>0</v>
      </c>
      <c r="D20" s="153"/>
      <c r="E20" s="153"/>
      <c r="F20" s="30"/>
      <c r="G20" s="153"/>
      <c r="H20" s="153"/>
      <c r="I20" s="30"/>
    </row>
    <row r="21" spans="1:9" ht="15.6" x14ac:dyDescent="0.25">
      <c r="A21" s="155" t="s">
        <v>45</v>
      </c>
      <c r="B21" s="155"/>
      <c r="C21" s="31">
        <f>SUM('Stavební rozpočet'!Z12:Z430)</f>
        <v>0</v>
      </c>
      <c r="D21" s="156"/>
      <c r="E21" s="156"/>
      <c r="F21" s="32"/>
      <c r="G21" s="156"/>
      <c r="H21" s="156"/>
      <c r="I21" s="32"/>
    </row>
    <row r="22" spans="1:9" ht="16.5" customHeight="1" x14ac:dyDescent="0.25">
      <c r="A22" s="157" t="s">
        <v>46</v>
      </c>
      <c r="B22" s="157"/>
      <c r="C22" s="33">
        <f>ROUND(SUM(C14:C21),1)</f>
        <v>0</v>
      </c>
      <c r="D22" s="158" t="s">
        <v>47</v>
      </c>
      <c r="E22" s="158"/>
      <c r="F22" s="33">
        <f>SUM(F14:F21)</f>
        <v>0</v>
      </c>
      <c r="G22" s="158"/>
      <c r="H22" s="158"/>
      <c r="I22" s="33">
        <f>SUM(I14:I21)</f>
        <v>0</v>
      </c>
    </row>
    <row r="23" spans="1:9" ht="15.6" x14ac:dyDescent="0.3">
      <c r="D23" s="154" t="s">
        <v>48</v>
      </c>
      <c r="E23" s="154"/>
      <c r="F23" s="28">
        <f>'Krycí list rozpočtu (SO 01.1)'!F22+'Krycí list rozpočtu (SO 01.2)'!F22+'Krycí list rozpočtu (SO 01.3)'!F22+'Krycí list rozpočtu (VORN)'!F22+'Krycí list rozpočtu (ZS)'!F22</f>
        <v>0</v>
      </c>
      <c r="G23" s="159"/>
      <c r="H23" s="159"/>
      <c r="I23" s="28">
        <f>'Krycí list rozpočtu (SO 01.1)'!I22+'Krycí list rozpočtu (SO 01.2)'!I22+'Krycí list rozpočtu (SO 01.3)'!I22+'Krycí list rozpočtu (VORN)'!I22+'Krycí list rozpočtu (ZS)'!I22</f>
        <v>0</v>
      </c>
    </row>
    <row r="24" spans="1:9" ht="15.6" hidden="1" x14ac:dyDescent="0.3">
      <c r="G24" s="154"/>
      <c r="H24" s="154"/>
      <c r="I24" s="28">
        <f>vorn_sum</f>
        <v>0</v>
      </c>
    </row>
    <row r="25" spans="1:9" ht="15.6" hidden="1" x14ac:dyDescent="0.3">
      <c r="G25" s="154"/>
      <c r="H25" s="154"/>
      <c r="I25" s="28">
        <f>'Krycí list rozpočtu (SO 01.1)'!I23+'Krycí list rozpočtu (SO 01.2)'!I23+'Krycí list rozpočtu (SO 01.3)'!I23+'Krycí list rozpočtu (VORN)'!I23+'Krycí list rozpočtu (ZS)'!I23</f>
        <v>0</v>
      </c>
    </row>
    <row r="26" spans="1:9" hidden="1" x14ac:dyDescent="0.3"/>
    <row r="27" spans="1:9" ht="15.6" x14ac:dyDescent="0.3">
      <c r="A27" s="160" t="s">
        <v>49</v>
      </c>
      <c r="B27" s="160"/>
      <c r="C27" s="34">
        <f>ROUND(SUM('Stavební rozpočet'!AJ12:AJ430),1)</f>
        <v>0</v>
      </c>
      <c r="D27" s="35"/>
      <c r="E27" s="35"/>
      <c r="F27" s="35"/>
      <c r="G27" s="35"/>
      <c r="H27" s="35"/>
      <c r="I27" s="35"/>
    </row>
    <row r="28" spans="1:9" ht="15.6" x14ac:dyDescent="0.25">
      <c r="A28" s="161" t="s">
        <v>50</v>
      </c>
      <c r="B28" s="161"/>
      <c r="C28" s="36">
        <f>ROUND(SUM('Stavební rozpočet'!AK12:AK430),1)</f>
        <v>0</v>
      </c>
      <c r="D28" s="162" t="s">
        <v>51</v>
      </c>
      <c r="E28" s="162"/>
      <c r="F28" s="34">
        <f>ROUND(C28*(12/100),2)</f>
        <v>0</v>
      </c>
      <c r="G28" s="162" t="s">
        <v>52</v>
      </c>
      <c r="H28" s="162"/>
      <c r="I28" s="34">
        <f>ROUND(SUM(C27:C29),1)</f>
        <v>0</v>
      </c>
    </row>
    <row r="29" spans="1:9" ht="15.6" x14ac:dyDescent="0.25">
      <c r="A29" s="161" t="s">
        <v>53</v>
      </c>
      <c r="B29" s="161"/>
      <c r="C29" s="36">
        <f>ROUND(SUM('Stavební rozpočet'!AL12:AL430)+(F22+I22+F23+I23+I24+I25),1)</f>
        <v>0</v>
      </c>
      <c r="D29" s="163" t="s">
        <v>54</v>
      </c>
      <c r="E29" s="163"/>
      <c r="F29" s="36">
        <f>ROUND(C29*(21/100),2)</f>
        <v>0</v>
      </c>
      <c r="G29" s="163" t="s">
        <v>55</v>
      </c>
      <c r="H29" s="163"/>
      <c r="I29" s="36">
        <f>ROUND(SUM(F28:F29)+I28,1)</f>
        <v>0</v>
      </c>
    </row>
    <row r="31" spans="1:9" ht="15" x14ac:dyDescent="0.25">
      <c r="A31" s="164" t="s">
        <v>56</v>
      </c>
      <c r="B31" s="164"/>
      <c r="C31" s="164"/>
      <c r="D31" s="165" t="s">
        <v>57</v>
      </c>
      <c r="E31" s="165"/>
      <c r="F31" s="165"/>
      <c r="G31" s="165" t="s">
        <v>58</v>
      </c>
      <c r="H31" s="165"/>
      <c r="I31" s="165"/>
    </row>
    <row r="32" spans="1:9" ht="15" x14ac:dyDescent="0.25">
      <c r="A32" s="166"/>
      <c r="B32" s="166"/>
      <c r="C32" s="166"/>
      <c r="D32" s="167"/>
      <c r="E32" s="167"/>
      <c r="F32" s="167"/>
      <c r="G32" s="167"/>
      <c r="H32" s="167"/>
      <c r="I32" s="167"/>
    </row>
    <row r="33" spans="1:9" ht="15" x14ac:dyDescent="0.25">
      <c r="A33" s="166"/>
      <c r="B33" s="166"/>
      <c r="C33" s="166"/>
      <c r="D33" s="167"/>
      <c r="E33" s="167"/>
      <c r="F33" s="167"/>
      <c r="G33" s="167"/>
      <c r="H33" s="167"/>
      <c r="I33" s="167"/>
    </row>
    <row r="34" spans="1:9" ht="15" x14ac:dyDescent="0.25">
      <c r="A34" s="166"/>
      <c r="B34" s="166"/>
      <c r="C34" s="166"/>
      <c r="D34" s="167"/>
      <c r="E34" s="167"/>
      <c r="F34" s="167"/>
      <c r="G34" s="167"/>
      <c r="H34" s="167"/>
      <c r="I34" s="167"/>
    </row>
    <row r="35" spans="1:9" ht="15" x14ac:dyDescent="0.25">
      <c r="A35" s="168" t="s">
        <v>59</v>
      </c>
      <c r="B35" s="168"/>
      <c r="C35" s="168"/>
      <c r="D35" s="169" t="s">
        <v>59</v>
      </c>
      <c r="E35" s="169"/>
      <c r="F35" s="169"/>
      <c r="G35" s="169" t="s">
        <v>59</v>
      </c>
      <c r="H35" s="169"/>
      <c r="I35" s="169"/>
    </row>
    <row r="36" spans="1:9" x14ac:dyDescent="0.3">
      <c r="A36"/>
    </row>
    <row r="37" spans="1:9" ht="12.75" hidden="1" customHeight="1" x14ac:dyDescent="0.25">
      <c r="A37" s="8"/>
      <c r="B37" s="8"/>
      <c r="C37" s="8"/>
      <c r="D37" s="8"/>
      <c r="E37" s="8"/>
      <c r="F37" s="8"/>
      <c r="G37" s="8"/>
      <c r="H37" s="8"/>
      <c r="I37" s="8"/>
    </row>
    <row r="62" spans="1:9" ht="15" customHeight="1" x14ac:dyDescent="0.25">
      <c r="A62" s="170" t="s">
        <v>60</v>
      </c>
      <c r="B62" s="170"/>
      <c r="C62" s="170"/>
      <c r="D62" s="170"/>
      <c r="E62" s="170"/>
      <c r="F62" s="170"/>
      <c r="G62" s="170"/>
      <c r="H62" s="170"/>
      <c r="I62" s="170"/>
    </row>
    <row r="63" spans="1:9" ht="15" customHeight="1" x14ac:dyDescent="0.25">
      <c r="A63" s="171" t="s">
        <v>61</v>
      </c>
      <c r="B63" s="171"/>
      <c r="C63" s="171"/>
      <c r="D63" s="171"/>
      <c r="E63" s="171"/>
      <c r="F63" s="171"/>
      <c r="G63" s="171"/>
      <c r="H63" s="171"/>
      <c r="I63" s="171"/>
    </row>
    <row r="64" spans="1:9" ht="23.85" customHeight="1" x14ac:dyDescent="0.25">
      <c r="A64" s="171" t="s">
        <v>62</v>
      </c>
      <c r="B64" s="171"/>
      <c r="C64" s="171"/>
      <c r="D64" s="171"/>
      <c r="E64" s="171"/>
      <c r="F64" s="171"/>
      <c r="G64" s="171"/>
      <c r="H64" s="171"/>
      <c r="I64" s="171"/>
    </row>
    <row r="65" spans="1:9" ht="15" customHeight="1" x14ac:dyDescent="0.25">
      <c r="A65" s="171" t="s">
        <v>63</v>
      </c>
      <c r="B65" s="171"/>
      <c r="C65" s="171"/>
      <c r="D65" s="171"/>
      <c r="E65" s="171"/>
      <c r="F65" s="171"/>
      <c r="G65" s="171"/>
      <c r="H65" s="171"/>
      <c r="I65" s="171"/>
    </row>
    <row r="66" spans="1:9" ht="15" customHeight="1" x14ac:dyDescent="0.25">
      <c r="A66" s="171" t="s">
        <v>64</v>
      </c>
      <c r="B66" s="171"/>
      <c r="C66" s="171"/>
      <c r="D66" s="171"/>
      <c r="E66" s="171"/>
      <c r="F66" s="171"/>
      <c r="G66" s="171"/>
      <c r="H66" s="171"/>
      <c r="I66" s="171"/>
    </row>
    <row r="67" spans="1:9" ht="23.85" customHeight="1" x14ac:dyDescent="0.25">
      <c r="A67" s="171" t="s">
        <v>65</v>
      </c>
      <c r="B67" s="171"/>
      <c r="C67" s="171"/>
      <c r="D67" s="171"/>
      <c r="E67" s="171"/>
      <c r="F67" s="171"/>
      <c r="G67" s="171"/>
      <c r="H67" s="171"/>
      <c r="I67" s="171"/>
    </row>
    <row r="68" spans="1:9" ht="15" customHeight="1" x14ac:dyDescent="0.25">
      <c r="A68" s="171" t="s">
        <v>66</v>
      </c>
      <c r="B68" s="171"/>
      <c r="C68" s="171"/>
      <c r="D68" s="171"/>
      <c r="E68" s="171"/>
      <c r="F68" s="171"/>
      <c r="G68" s="171"/>
      <c r="H68" s="171"/>
      <c r="I68" s="171"/>
    </row>
    <row r="69" spans="1:9" ht="15" customHeight="1" x14ac:dyDescent="0.25">
      <c r="A69" s="171" t="s">
        <v>67</v>
      </c>
      <c r="B69" s="171"/>
      <c r="C69" s="171"/>
      <c r="D69" s="171"/>
      <c r="E69" s="171"/>
      <c r="F69" s="171"/>
      <c r="G69" s="171"/>
      <c r="H69" s="171"/>
      <c r="I69" s="171"/>
    </row>
    <row r="70" spans="1:9" ht="15" customHeight="1" x14ac:dyDescent="0.25">
      <c r="A70" s="171" t="s">
        <v>68</v>
      </c>
      <c r="B70" s="171"/>
      <c r="C70" s="171"/>
      <c r="D70" s="171"/>
      <c r="E70" s="171"/>
      <c r="F70" s="171"/>
      <c r="G70" s="171"/>
      <c r="H70" s="171"/>
      <c r="I70" s="171"/>
    </row>
    <row r="71" spans="1:9" ht="23.85" customHeight="1" x14ac:dyDescent="0.25">
      <c r="A71" s="171" t="s">
        <v>69</v>
      </c>
      <c r="B71" s="171"/>
      <c r="C71" s="171"/>
      <c r="D71" s="171"/>
      <c r="E71" s="171"/>
      <c r="F71" s="171"/>
      <c r="G71" s="171"/>
      <c r="H71" s="171"/>
      <c r="I71" s="171"/>
    </row>
    <row r="72" spans="1:9" ht="15" customHeight="1" x14ac:dyDescent="0.25">
      <c r="A72" s="171" t="s">
        <v>70</v>
      </c>
      <c r="B72" s="171"/>
      <c r="C72" s="171"/>
      <c r="D72" s="171"/>
      <c r="E72" s="171"/>
      <c r="F72" s="171"/>
      <c r="G72" s="171"/>
      <c r="H72" s="171"/>
      <c r="I72" s="171"/>
    </row>
    <row r="73" spans="1:9" ht="13.2" x14ac:dyDescent="0.25">
      <c r="A73" s="37" t="s">
        <v>71</v>
      </c>
      <c r="B73" s="38"/>
      <c r="C73" s="38"/>
      <c r="D73" s="38"/>
      <c r="E73" s="38"/>
      <c r="F73" s="38"/>
      <c r="G73" s="38"/>
      <c r="H73" s="38"/>
      <c r="I73" s="38"/>
    </row>
    <row r="74" spans="1:9" ht="15" customHeight="1" x14ac:dyDescent="0.25">
      <c r="A74" s="171" t="s">
        <v>72</v>
      </c>
      <c r="B74" s="171"/>
      <c r="C74" s="171"/>
      <c r="D74" s="171"/>
      <c r="E74" s="171"/>
      <c r="F74" s="171"/>
      <c r="G74" s="171"/>
      <c r="H74" s="171"/>
      <c r="I74" s="171"/>
    </row>
    <row r="75" spans="1:9" ht="23.85" customHeight="1" x14ac:dyDescent="0.25">
      <c r="A75" s="171" t="s">
        <v>73</v>
      </c>
      <c r="B75" s="171"/>
      <c r="C75" s="171"/>
      <c r="D75" s="171"/>
      <c r="E75" s="171"/>
      <c r="F75" s="171"/>
      <c r="G75" s="171"/>
      <c r="H75" s="171"/>
      <c r="I75" s="171"/>
    </row>
  </sheetData>
  <mergeCells count="96">
    <mergeCell ref="A71:I71"/>
    <mergeCell ref="A72:I72"/>
    <mergeCell ref="A74:I74"/>
    <mergeCell ref="A75:I75"/>
    <mergeCell ref="A66:I66"/>
    <mergeCell ref="A67:I67"/>
    <mergeCell ref="A68:I68"/>
    <mergeCell ref="A69:I69"/>
    <mergeCell ref="A70:I70"/>
    <mergeCell ref="A37:I37"/>
    <mergeCell ref="A62:I62"/>
    <mergeCell ref="A63:I63"/>
    <mergeCell ref="A64:I64"/>
    <mergeCell ref="A65:I65"/>
    <mergeCell ref="A34:C34"/>
    <mergeCell ref="D34:F34"/>
    <mergeCell ref="G34:I34"/>
    <mergeCell ref="A35:C35"/>
    <mergeCell ref="D35:F35"/>
    <mergeCell ref="G35:I35"/>
    <mergeCell ref="A32:C32"/>
    <mergeCell ref="D32:F32"/>
    <mergeCell ref="G32:I32"/>
    <mergeCell ref="A33:C33"/>
    <mergeCell ref="D33:F33"/>
    <mergeCell ref="G33:I33"/>
    <mergeCell ref="A29:B29"/>
    <mergeCell ref="D29:E29"/>
    <mergeCell ref="G29:H29"/>
    <mergeCell ref="A31:C31"/>
    <mergeCell ref="D31:F31"/>
    <mergeCell ref="G31:I31"/>
    <mergeCell ref="G24:H24"/>
    <mergeCell ref="G25:H25"/>
    <mergeCell ref="A27:B27"/>
    <mergeCell ref="A28:B28"/>
    <mergeCell ref="D28:E28"/>
    <mergeCell ref="G28:H28"/>
    <mergeCell ref="A22:B22"/>
    <mergeCell ref="D22:E22"/>
    <mergeCell ref="G22:H22"/>
    <mergeCell ref="D23:E23"/>
    <mergeCell ref="G23:H23"/>
    <mergeCell ref="A20:B20"/>
    <mergeCell ref="D20:E20"/>
    <mergeCell ref="G20:H20"/>
    <mergeCell ref="A21:B21"/>
    <mergeCell ref="D21:E21"/>
    <mergeCell ref="G21:H21"/>
    <mergeCell ref="D17:E17"/>
    <mergeCell ref="G17:H17"/>
    <mergeCell ref="D18:E18"/>
    <mergeCell ref="G18:H18"/>
    <mergeCell ref="D19:E19"/>
    <mergeCell ref="G19:H19"/>
    <mergeCell ref="D14:E14"/>
    <mergeCell ref="G14:H14"/>
    <mergeCell ref="D15:E15"/>
    <mergeCell ref="G15:H15"/>
    <mergeCell ref="D16:E16"/>
    <mergeCell ref="G16:H16"/>
    <mergeCell ref="I10:I11"/>
    <mergeCell ref="A12:I12"/>
    <mergeCell ref="B13:C13"/>
    <mergeCell ref="E13:F13"/>
    <mergeCell ref="H13:I13"/>
    <mergeCell ref="A10:B11"/>
    <mergeCell ref="C10:D11"/>
    <mergeCell ref="E10:E11"/>
    <mergeCell ref="F10:G11"/>
    <mergeCell ref="H10:H11"/>
    <mergeCell ref="I6:I7"/>
    <mergeCell ref="A8:B9"/>
    <mergeCell ref="C8:D9"/>
    <mergeCell ref="E8:E9"/>
    <mergeCell ref="F8:G9"/>
    <mergeCell ref="H8:H9"/>
    <mergeCell ref="I8:I9"/>
    <mergeCell ref="A6:B7"/>
    <mergeCell ref="C6:D7"/>
    <mergeCell ref="E6:E7"/>
    <mergeCell ref="F6:G7"/>
    <mergeCell ref="H6:H7"/>
    <mergeCell ref="H2:H3"/>
    <mergeCell ref="I2:I3"/>
    <mergeCell ref="A4:B5"/>
    <mergeCell ref="C4:D5"/>
    <mergeCell ref="E4:E5"/>
    <mergeCell ref="F4:G5"/>
    <mergeCell ref="H4:H5"/>
    <mergeCell ref="I4:I5"/>
    <mergeCell ref="A1:G1"/>
    <mergeCell ref="A2:B3"/>
    <mergeCell ref="C2:D3"/>
    <mergeCell ref="E2:E3"/>
    <mergeCell ref="F2:G3"/>
  </mergeCells>
  <pageMargins left="0.39374999999999999" right="0.39374999999999999" top="0.196527777777778" bottom="0.44236111111111098" header="0.511811023622047" footer="0.27569444444444402"/>
  <pageSetup fitToHeight="2" orientation="landscape" useFirstPageNumber="1" horizontalDpi="300" verticalDpi="300"/>
  <headerFooter>
    <oddFooter>&amp;C&amp;"Times New Roman,obyčejné"&amp;12&amp;F, Stránka &amp;P</oddFooter>
  </headerFooter>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9932CC"/>
    <pageSetUpPr fitToPage="1"/>
  </sheetPr>
  <dimension ref="A1:I35"/>
  <sheetViews>
    <sheetView zoomScaleNormal="100" workbookViewId="0"/>
  </sheetViews>
  <sheetFormatPr defaultColWidth="12.109375" defaultRowHeight="14.4" x14ac:dyDescent="0.3"/>
  <cols>
    <col min="1" max="1" width="16.5546875" style="22" customWidth="1"/>
    <col min="2" max="2" width="12.88671875" style="22" customWidth="1"/>
    <col min="3" max="3" width="27.109375" style="22" customWidth="1"/>
    <col min="4" max="4" width="18.109375" style="22" customWidth="1"/>
    <col min="5" max="5" width="14" style="22" customWidth="1"/>
    <col min="6" max="6" width="27.109375" style="22" customWidth="1"/>
    <col min="7" max="7" width="18.44140625" style="22" customWidth="1"/>
    <col min="8" max="8" width="12.88671875" style="22" customWidth="1"/>
    <col min="9" max="9" width="27.109375" style="22" customWidth="1"/>
  </cols>
  <sheetData>
    <row r="1" spans="1:9" ht="39.75" customHeight="1" x14ac:dyDescent="0.25">
      <c r="A1" s="172" t="s">
        <v>930</v>
      </c>
      <c r="B1" s="172"/>
      <c r="C1" s="172"/>
      <c r="D1" s="172"/>
      <c r="E1" s="172"/>
      <c r="F1" s="172"/>
      <c r="G1" s="172"/>
      <c r="H1" s="172"/>
      <c r="I1" s="172"/>
    </row>
    <row r="2" spans="1:9" ht="15" customHeight="1" x14ac:dyDescent="0.25">
      <c r="A2" s="13" t="s">
        <v>1</v>
      </c>
      <c r="B2" s="13"/>
      <c r="C2" s="12" t="str">
        <f>'Stavební rozpočet'!D2</f>
        <v>DEMOLICE PANELOVÉHO DOMU V HORNÍM PARKU</v>
      </c>
      <c r="D2" s="12"/>
      <c r="E2" s="11" t="s">
        <v>2</v>
      </c>
      <c r="F2" s="11" t="str">
        <f>'Stavební rozpočet'!J2</f>
        <v>MĚSTO ZNOJMO</v>
      </c>
      <c r="G2" s="11"/>
      <c r="H2" s="11" t="s">
        <v>3</v>
      </c>
      <c r="I2" s="10"/>
    </row>
    <row r="3" spans="1:9" ht="15" customHeight="1" x14ac:dyDescent="0.25">
      <c r="A3" s="13"/>
      <c r="B3" s="13"/>
      <c r="C3" s="12"/>
      <c r="D3" s="12"/>
      <c r="E3" s="11"/>
      <c r="F3" s="11"/>
      <c r="G3" s="11"/>
      <c r="H3" s="11"/>
      <c r="I3" s="10"/>
    </row>
    <row r="4" spans="1:9" ht="15" customHeight="1" x14ac:dyDescent="0.25">
      <c r="A4" s="9" t="s">
        <v>4</v>
      </c>
      <c r="B4" s="9"/>
      <c r="C4" s="8" t="str">
        <f>'Stavební rozpočet'!D4</f>
        <v>Postupná demolice panelového domu</v>
      </c>
      <c r="D4" s="8"/>
      <c r="E4" s="8" t="s">
        <v>5</v>
      </c>
      <c r="F4" s="8" t="str">
        <f>'Stavební rozpočet'!J4</f>
        <v>Ing.  Roman Zvěřina, Dolní Česká 358/25, 669 02 Znojmo</v>
      </c>
      <c r="G4" s="8"/>
      <c r="H4" s="8" t="s">
        <v>3</v>
      </c>
      <c r="I4" s="7" t="s">
        <v>6</v>
      </c>
    </row>
    <row r="5" spans="1:9" ht="15" customHeight="1" x14ac:dyDescent="0.25">
      <c r="A5" s="9"/>
      <c r="B5" s="9"/>
      <c r="C5" s="8"/>
      <c r="D5" s="8"/>
      <c r="E5" s="8"/>
      <c r="F5" s="8"/>
      <c r="G5" s="8"/>
      <c r="H5" s="8"/>
      <c r="I5" s="7"/>
    </row>
    <row r="6" spans="1:9" ht="15" customHeight="1" x14ac:dyDescent="0.25">
      <c r="A6" s="9" t="s">
        <v>7</v>
      </c>
      <c r="B6" s="9"/>
      <c r="C6" s="8" t="str">
        <f>'Stavební rozpočet'!D6</f>
        <v>k.ú.Znojmo-město parc.č.258/5</v>
      </c>
      <c r="D6" s="8"/>
      <c r="E6" s="8" t="s">
        <v>8</v>
      </c>
      <c r="F6" s="8" t="str">
        <f>'Stavební rozpočet'!J6</f>
        <v> </v>
      </c>
      <c r="G6" s="8"/>
      <c r="H6" s="8" t="s">
        <v>3</v>
      </c>
      <c r="I6" s="7"/>
    </row>
    <row r="7" spans="1:9" ht="15" customHeight="1" x14ac:dyDescent="0.25">
      <c r="A7" s="9"/>
      <c r="B7" s="9"/>
      <c r="C7" s="8"/>
      <c r="D7" s="8"/>
      <c r="E7" s="8"/>
      <c r="F7" s="8"/>
      <c r="G7" s="8"/>
      <c r="H7" s="8"/>
      <c r="I7" s="7"/>
    </row>
    <row r="8" spans="1:9" ht="15" customHeight="1" x14ac:dyDescent="0.25">
      <c r="A8" s="9" t="s">
        <v>9</v>
      </c>
      <c r="B8" s="9"/>
      <c r="C8" s="8" t="str">
        <f>'Stavební rozpočet'!H4</f>
        <v xml:space="preserve"> </v>
      </c>
      <c r="D8" s="8"/>
      <c r="E8" s="8" t="s">
        <v>10</v>
      </c>
      <c r="F8" s="8" t="str">
        <f>'Stavební rozpočet'!H6</f>
        <v xml:space="preserve"> </v>
      </c>
      <c r="G8" s="8"/>
      <c r="H8" s="6" t="s">
        <v>11</v>
      </c>
      <c r="I8" s="5">
        <v>6</v>
      </c>
    </row>
    <row r="9" spans="1:9" ht="13.2" x14ac:dyDescent="0.25">
      <c r="A9" s="9"/>
      <c r="B9" s="9"/>
      <c r="C9" s="8"/>
      <c r="D9" s="8"/>
      <c r="E9" s="8"/>
      <c r="F9" s="8"/>
      <c r="G9" s="8"/>
      <c r="H9" s="6"/>
      <c r="I9" s="5"/>
    </row>
    <row r="10" spans="1:9" ht="15" customHeight="1" x14ac:dyDescent="0.25">
      <c r="A10" s="4" t="s">
        <v>12</v>
      </c>
      <c r="B10" s="4"/>
      <c r="C10" s="3" t="str">
        <f>'Stavební rozpočet'!D8</f>
        <v>80331</v>
      </c>
      <c r="D10" s="3"/>
      <c r="E10" s="3" t="s">
        <v>13</v>
      </c>
      <c r="F10" s="3" t="str">
        <f>'Stavební rozpočet'!J8</f>
        <v>Bohuslav Hemala</v>
      </c>
      <c r="G10" s="3"/>
      <c r="H10" s="2" t="s">
        <v>14</v>
      </c>
      <c r="I10" s="1" t="str">
        <f>'Stavební rozpočet'!H8</f>
        <v>16.05.2025</v>
      </c>
    </row>
    <row r="11" spans="1:9" ht="13.2" x14ac:dyDescent="0.25">
      <c r="A11" s="4"/>
      <c r="B11" s="4"/>
      <c r="C11" s="3"/>
      <c r="D11" s="3"/>
      <c r="E11" s="3"/>
      <c r="F11" s="3"/>
      <c r="G11" s="3"/>
      <c r="H11" s="2"/>
      <c r="I11" s="1"/>
    </row>
    <row r="12" spans="1:9" ht="22.8" x14ac:dyDescent="0.25">
      <c r="A12" s="151" t="s">
        <v>31</v>
      </c>
      <c r="B12" s="151"/>
      <c r="C12" s="151"/>
      <c r="D12" s="151"/>
      <c r="E12" s="151"/>
      <c r="F12" s="151"/>
      <c r="G12" s="151"/>
      <c r="H12" s="151"/>
      <c r="I12" s="151"/>
    </row>
    <row r="13" spans="1:9" ht="26.25" customHeight="1" x14ac:dyDescent="0.25">
      <c r="A13" s="24" t="s">
        <v>32</v>
      </c>
      <c r="B13" s="152" t="s">
        <v>33</v>
      </c>
      <c r="C13" s="152"/>
      <c r="D13" s="25" t="s">
        <v>34</v>
      </c>
      <c r="E13" s="152" t="s">
        <v>35</v>
      </c>
      <c r="F13" s="152"/>
      <c r="G13" s="25" t="s">
        <v>915</v>
      </c>
      <c r="H13" s="152" t="s">
        <v>81</v>
      </c>
      <c r="I13" s="152"/>
    </row>
    <row r="14" spans="1:9" ht="15.6" x14ac:dyDescent="0.25">
      <c r="A14" s="26" t="s">
        <v>36</v>
      </c>
      <c r="B14" s="27" t="s">
        <v>37</v>
      </c>
      <c r="C14" s="28">
        <f>SUM('Stavební rozpočet (VORN)'!AB12:AB430)</f>
        <v>0</v>
      </c>
      <c r="D14" s="153" t="s">
        <v>38</v>
      </c>
      <c r="E14" s="153"/>
      <c r="F14" s="28">
        <f>'VORN objektu (VORN)'!I15</f>
        <v>0</v>
      </c>
      <c r="G14" s="153" t="s">
        <v>82</v>
      </c>
      <c r="H14" s="153"/>
      <c r="I14" s="28">
        <f>'VORN objektu (VORN)'!I21</f>
        <v>0</v>
      </c>
    </row>
    <row r="15" spans="1:9" ht="15.6" x14ac:dyDescent="0.25">
      <c r="A15" s="29"/>
      <c r="B15" s="27" t="s">
        <v>39</v>
      </c>
      <c r="C15" s="28">
        <f>SUM('Stavební rozpočet (VORN)'!AC12:AC430)</f>
        <v>0</v>
      </c>
      <c r="D15" s="153" t="s">
        <v>40</v>
      </c>
      <c r="E15" s="153"/>
      <c r="F15" s="28">
        <f>'VORN objektu (VORN)'!I16</f>
        <v>0</v>
      </c>
      <c r="G15" s="153" t="s">
        <v>83</v>
      </c>
      <c r="H15" s="153"/>
      <c r="I15" s="28">
        <f>'VORN objektu (VORN)'!I22</f>
        <v>0</v>
      </c>
    </row>
    <row r="16" spans="1:9" ht="15.6" x14ac:dyDescent="0.25">
      <c r="A16" s="26" t="s">
        <v>41</v>
      </c>
      <c r="B16" s="27" t="s">
        <v>37</v>
      </c>
      <c r="C16" s="28">
        <f>SUM('Stavební rozpočet (VORN)'!AD12:AD430)</f>
        <v>0</v>
      </c>
      <c r="D16" s="153" t="s">
        <v>42</v>
      </c>
      <c r="E16" s="153"/>
      <c r="F16" s="28">
        <f>'VORN objektu (VORN)'!I17</f>
        <v>0</v>
      </c>
      <c r="G16" s="153" t="s">
        <v>84</v>
      </c>
      <c r="H16" s="153"/>
      <c r="I16" s="28">
        <f>'VORN objektu (VORN)'!I23</f>
        <v>0</v>
      </c>
    </row>
    <row r="17" spans="1:9" ht="15.6" x14ac:dyDescent="0.25">
      <c r="A17" s="29"/>
      <c r="B17" s="27" t="s">
        <v>39</v>
      </c>
      <c r="C17" s="28">
        <f>SUM('Stavební rozpočet (VORN)'!AE12:AE430)</f>
        <v>0</v>
      </c>
      <c r="D17" s="153"/>
      <c r="E17" s="153"/>
      <c r="F17" s="30"/>
      <c r="G17" s="153" t="s">
        <v>85</v>
      </c>
      <c r="H17" s="153"/>
      <c r="I17" s="28">
        <f>'VORN objektu (VORN)'!I24</f>
        <v>0</v>
      </c>
    </row>
    <row r="18" spans="1:9" ht="15.6" x14ac:dyDescent="0.25">
      <c r="A18" s="26" t="s">
        <v>43</v>
      </c>
      <c r="B18" s="27" t="s">
        <v>37</v>
      </c>
      <c r="C18" s="28">
        <f>SUM('Stavební rozpočet (VORN)'!AF12:AF430)</f>
        <v>0</v>
      </c>
      <c r="D18" s="153"/>
      <c r="E18" s="153"/>
      <c r="F18" s="30"/>
      <c r="G18" s="153" t="s">
        <v>86</v>
      </c>
      <c r="H18" s="153"/>
      <c r="I18" s="28">
        <f>'VORN objektu (VORN)'!I25</f>
        <v>0</v>
      </c>
    </row>
    <row r="19" spans="1:9" ht="15.6" x14ac:dyDescent="0.25">
      <c r="A19" s="29"/>
      <c r="B19" s="27" t="s">
        <v>39</v>
      </c>
      <c r="C19" s="28">
        <f>SUM('Stavební rozpočet (VORN)'!AG12:AG430)</f>
        <v>0</v>
      </c>
      <c r="D19" s="153"/>
      <c r="E19" s="153"/>
      <c r="F19" s="30"/>
      <c r="G19" s="153" t="s">
        <v>87</v>
      </c>
      <c r="H19" s="153"/>
      <c r="I19" s="28">
        <f>'VORN objektu (VORN)'!I26</f>
        <v>0</v>
      </c>
    </row>
    <row r="20" spans="1:9" ht="15.6" x14ac:dyDescent="0.25">
      <c r="A20" s="154" t="s">
        <v>44</v>
      </c>
      <c r="B20" s="154"/>
      <c r="C20" s="28">
        <f>SUM('Stavební rozpočet (VORN)'!AH12:AH430)</f>
        <v>0</v>
      </c>
      <c r="D20" s="153"/>
      <c r="E20" s="153"/>
      <c r="F20" s="30"/>
      <c r="G20" s="153"/>
      <c r="H20" s="153"/>
      <c r="I20" s="30"/>
    </row>
    <row r="21" spans="1:9" ht="15.6" x14ac:dyDescent="0.25">
      <c r="A21" s="155" t="s">
        <v>45</v>
      </c>
      <c r="B21" s="155"/>
      <c r="C21" s="31">
        <f>SUM('Stavební rozpočet (VORN)'!Z12:Z430)</f>
        <v>0</v>
      </c>
      <c r="D21" s="156"/>
      <c r="E21" s="156"/>
      <c r="F21" s="32"/>
      <c r="G21" s="156"/>
      <c r="H21" s="156"/>
      <c r="I21" s="32"/>
    </row>
    <row r="22" spans="1:9" ht="16.5" customHeight="1" x14ac:dyDescent="0.25">
      <c r="A22" s="157" t="s">
        <v>46</v>
      </c>
      <c r="B22" s="157"/>
      <c r="C22" s="33">
        <f>ROUND(SUM(C14:C21),1)</f>
        <v>0</v>
      </c>
      <c r="D22" s="158" t="s">
        <v>47</v>
      </c>
      <c r="E22" s="158"/>
      <c r="F22" s="33">
        <f>SUM(F14:F21)</f>
        <v>0</v>
      </c>
      <c r="G22" s="158" t="s">
        <v>916</v>
      </c>
      <c r="H22" s="158"/>
      <c r="I22" s="33">
        <f>SUM(I14:I21)</f>
        <v>0</v>
      </c>
    </row>
    <row r="23" spans="1:9" ht="15.6" x14ac:dyDescent="0.3">
      <c r="G23" s="154" t="s">
        <v>917</v>
      </c>
      <c r="H23" s="154"/>
      <c r="I23" s="28">
        <f>'VORN objektu (VORN)'!I36</f>
        <v>0</v>
      </c>
    </row>
    <row r="25" spans="1:9" ht="15.6" x14ac:dyDescent="0.3">
      <c r="A25" s="160" t="s">
        <v>49</v>
      </c>
      <c r="B25" s="160"/>
      <c r="C25" s="34">
        <f>ROUND(SUM('Stavební rozpočet (VORN)'!AJ12:AJ430),1)</f>
        <v>0</v>
      </c>
      <c r="D25" s="35"/>
      <c r="E25" s="35"/>
      <c r="F25" s="35"/>
      <c r="G25" s="35"/>
      <c r="H25" s="35"/>
      <c r="I25" s="35"/>
    </row>
    <row r="26" spans="1:9" ht="15.6" x14ac:dyDescent="0.25">
      <c r="A26" s="161" t="s">
        <v>50</v>
      </c>
      <c r="B26" s="161"/>
      <c r="C26" s="36">
        <f>ROUND(SUM('Stavební rozpočet (VORN)'!AK12:AK430),1)</f>
        <v>0</v>
      </c>
      <c r="D26" s="162" t="s">
        <v>51</v>
      </c>
      <c r="E26" s="162"/>
      <c r="F26" s="34">
        <f>ROUND(C26*(12/100),2)</f>
        <v>0</v>
      </c>
      <c r="G26" s="162" t="s">
        <v>52</v>
      </c>
      <c r="H26" s="162"/>
      <c r="I26" s="34">
        <f>ROUND(SUM(C25:C27),1)</f>
        <v>0</v>
      </c>
    </row>
    <row r="27" spans="1:9" ht="15.6" x14ac:dyDescent="0.25">
      <c r="A27" s="161" t="s">
        <v>53</v>
      </c>
      <c r="B27" s="161"/>
      <c r="C27" s="36">
        <f>ROUND(SUM('Stavební rozpočet (VORN)'!AL12:AL430)+(F22+I22+F23+I23+I24),1)</f>
        <v>0</v>
      </c>
      <c r="D27" s="163" t="s">
        <v>54</v>
      </c>
      <c r="E27" s="163"/>
      <c r="F27" s="36">
        <f>ROUND(C27*(21/100),2)</f>
        <v>0</v>
      </c>
      <c r="G27" s="163" t="s">
        <v>55</v>
      </c>
      <c r="H27" s="163"/>
      <c r="I27" s="36">
        <f>ROUND(SUM(F26:F27)+I26,1)</f>
        <v>0</v>
      </c>
    </row>
    <row r="29" spans="1:9" ht="15" x14ac:dyDescent="0.25">
      <c r="A29" s="164" t="s">
        <v>56</v>
      </c>
      <c r="B29" s="164"/>
      <c r="C29" s="164"/>
      <c r="D29" s="165" t="s">
        <v>57</v>
      </c>
      <c r="E29" s="165"/>
      <c r="F29" s="165"/>
      <c r="G29" s="165" t="s">
        <v>58</v>
      </c>
      <c r="H29" s="165"/>
      <c r="I29" s="165"/>
    </row>
    <row r="30" spans="1:9" ht="15" x14ac:dyDescent="0.25">
      <c r="A30" s="166"/>
      <c r="B30" s="166"/>
      <c r="C30" s="166"/>
      <c r="D30" s="167"/>
      <c r="E30" s="167"/>
      <c r="F30" s="167"/>
      <c r="G30" s="167"/>
      <c r="H30" s="167"/>
      <c r="I30" s="167"/>
    </row>
    <row r="31" spans="1:9" ht="15" x14ac:dyDescent="0.25">
      <c r="A31" s="166"/>
      <c r="B31" s="166"/>
      <c r="C31" s="166"/>
      <c r="D31" s="167"/>
      <c r="E31" s="167"/>
      <c r="F31" s="167"/>
      <c r="G31" s="167"/>
      <c r="H31" s="167"/>
      <c r="I31" s="167"/>
    </row>
    <row r="32" spans="1:9" ht="15" x14ac:dyDescent="0.25">
      <c r="A32" s="166"/>
      <c r="B32" s="166"/>
      <c r="C32" s="166"/>
      <c r="D32" s="167"/>
      <c r="E32" s="167"/>
      <c r="F32" s="167"/>
      <c r="G32" s="167"/>
      <c r="H32" s="167"/>
      <c r="I32" s="167"/>
    </row>
    <row r="33" spans="1:9" ht="15" x14ac:dyDescent="0.25">
      <c r="A33" s="168" t="s">
        <v>59</v>
      </c>
      <c r="B33" s="168"/>
      <c r="C33" s="168"/>
      <c r="D33" s="169" t="s">
        <v>59</v>
      </c>
      <c r="E33" s="169"/>
      <c r="F33" s="169"/>
      <c r="G33" s="169" t="s">
        <v>59</v>
      </c>
      <c r="H33" s="169"/>
      <c r="I33" s="169"/>
    </row>
    <row r="34" spans="1:9" x14ac:dyDescent="0.3">
      <c r="A34"/>
    </row>
    <row r="35" spans="1:9" ht="12.75" hidden="1" customHeight="1" x14ac:dyDescent="0.25">
      <c r="A35" s="8"/>
      <c r="B35" s="8"/>
      <c r="C35" s="8"/>
      <c r="D35" s="8"/>
      <c r="E35" s="8"/>
      <c r="F35" s="8"/>
      <c r="G35" s="8"/>
      <c r="H35" s="8"/>
      <c r="I35" s="8"/>
    </row>
  </sheetData>
  <mergeCells count="80">
    <mergeCell ref="A35:I35"/>
    <mergeCell ref="A32:C32"/>
    <mergeCell ref="D32:F32"/>
    <mergeCell ref="G32:I32"/>
    <mergeCell ref="A33:C33"/>
    <mergeCell ref="D33:F33"/>
    <mergeCell ref="G33:I33"/>
    <mergeCell ref="A30:C30"/>
    <mergeCell ref="D30:F30"/>
    <mergeCell ref="G30:I30"/>
    <mergeCell ref="A31:C31"/>
    <mergeCell ref="D31:F31"/>
    <mergeCell ref="G31:I31"/>
    <mergeCell ref="A27:B27"/>
    <mergeCell ref="D27:E27"/>
    <mergeCell ref="G27:H27"/>
    <mergeCell ref="A29:C29"/>
    <mergeCell ref="D29:F29"/>
    <mergeCell ref="G29:I29"/>
    <mergeCell ref="G23:H23"/>
    <mergeCell ref="A25:B25"/>
    <mergeCell ref="A26:B26"/>
    <mergeCell ref="D26:E26"/>
    <mergeCell ref="G26:H26"/>
    <mergeCell ref="A21:B21"/>
    <mergeCell ref="D21:E21"/>
    <mergeCell ref="G21:H21"/>
    <mergeCell ref="A22:B22"/>
    <mergeCell ref="D22:E22"/>
    <mergeCell ref="G22:H22"/>
    <mergeCell ref="D18:E18"/>
    <mergeCell ref="G18:H18"/>
    <mergeCell ref="D19:E19"/>
    <mergeCell ref="G19:H19"/>
    <mergeCell ref="A20:B20"/>
    <mergeCell ref="D20:E20"/>
    <mergeCell ref="G20:H20"/>
    <mergeCell ref="D15:E15"/>
    <mergeCell ref="G15:H15"/>
    <mergeCell ref="D16:E16"/>
    <mergeCell ref="G16:H16"/>
    <mergeCell ref="D17:E17"/>
    <mergeCell ref="G17:H17"/>
    <mergeCell ref="A12:I12"/>
    <mergeCell ref="B13:C13"/>
    <mergeCell ref="E13:F13"/>
    <mergeCell ref="H13:I13"/>
    <mergeCell ref="D14:E14"/>
    <mergeCell ref="G14:H14"/>
    <mergeCell ref="I8:I9"/>
    <mergeCell ref="A10:B11"/>
    <mergeCell ref="C10:D11"/>
    <mergeCell ref="E10:E11"/>
    <mergeCell ref="F10:G11"/>
    <mergeCell ref="H10:H11"/>
    <mergeCell ref="I10:I11"/>
    <mergeCell ref="A8:B9"/>
    <mergeCell ref="C8:D9"/>
    <mergeCell ref="E8:E9"/>
    <mergeCell ref="F8:G9"/>
    <mergeCell ref="H8:H9"/>
    <mergeCell ref="I4:I5"/>
    <mergeCell ref="A6:B7"/>
    <mergeCell ref="C6:D7"/>
    <mergeCell ref="E6:E7"/>
    <mergeCell ref="F6:G7"/>
    <mergeCell ref="H6:H7"/>
    <mergeCell ref="I6:I7"/>
    <mergeCell ref="A4:B5"/>
    <mergeCell ref="C4:D5"/>
    <mergeCell ref="E4:E5"/>
    <mergeCell ref="F4:G5"/>
    <mergeCell ref="H4:H5"/>
    <mergeCell ref="A1:I1"/>
    <mergeCell ref="A2:B3"/>
    <mergeCell ref="C2:D3"/>
    <mergeCell ref="E2:E3"/>
    <mergeCell ref="F2:G3"/>
    <mergeCell ref="H2:H3"/>
    <mergeCell ref="I2:I3"/>
  </mergeCells>
  <pageMargins left="0.39374999999999999" right="0.39374999999999999" top="0.59097222222222201" bottom="0.59097222222222201" header="0.511811023622047" footer="0.511811023622047"/>
  <pageSetup orientation="landscape"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I36"/>
  <sheetViews>
    <sheetView zoomScaleNormal="100" workbookViewId="0">
      <selection activeCell="A36" sqref="A36"/>
    </sheetView>
  </sheetViews>
  <sheetFormatPr defaultColWidth="12.109375" defaultRowHeight="14.4" x14ac:dyDescent="0.3"/>
  <cols>
    <col min="1" max="1" width="9.109375" style="22" customWidth="1"/>
    <col min="2" max="2" width="12.88671875" style="22" customWidth="1"/>
    <col min="3" max="3" width="22.88671875" style="22" customWidth="1"/>
    <col min="4" max="4" width="10" style="22" customWidth="1"/>
    <col min="5" max="5" width="14" style="22" customWidth="1"/>
    <col min="6" max="6" width="22.88671875" style="22" customWidth="1"/>
    <col min="7" max="7" width="9.109375" style="22" customWidth="1"/>
    <col min="8" max="8" width="17.109375" style="22" customWidth="1"/>
    <col min="9" max="9" width="22.88671875" style="22" customWidth="1"/>
  </cols>
  <sheetData>
    <row r="1" spans="1:9" ht="54.75" customHeight="1" x14ac:dyDescent="0.25">
      <c r="A1" s="172" t="s">
        <v>931</v>
      </c>
      <c r="B1" s="172"/>
      <c r="C1" s="172"/>
      <c r="D1" s="172"/>
      <c r="E1" s="172"/>
      <c r="F1" s="172"/>
      <c r="G1" s="172"/>
      <c r="H1" s="172"/>
      <c r="I1" s="172"/>
    </row>
    <row r="2" spans="1:9" ht="15" customHeight="1" x14ac:dyDescent="0.25">
      <c r="A2" s="13" t="s">
        <v>1</v>
      </c>
      <c r="B2" s="13"/>
      <c r="C2" s="12" t="str">
        <f>'Stavební rozpočet'!D2</f>
        <v>DEMOLICE PANELOVÉHO DOMU V HORNÍM PARKU</v>
      </c>
      <c r="D2" s="12"/>
      <c r="E2" s="11" t="s">
        <v>2</v>
      </c>
      <c r="F2" s="11" t="str">
        <f>'Stavební rozpočet'!J2</f>
        <v>MĚSTO ZNOJMO</v>
      </c>
      <c r="G2" s="11"/>
      <c r="H2" s="11" t="s">
        <v>3</v>
      </c>
      <c r="I2" s="10"/>
    </row>
    <row r="3" spans="1:9" ht="15" customHeight="1" x14ac:dyDescent="0.25">
      <c r="A3" s="13"/>
      <c r="B3" s="13"/>
      <c r="C3" s="12"/>
      <c r="D3" s="12"/>
      <c r="E3" s="11"/>
      <c r="F3" s="11"/>
      <c r="G3" s="11"/>
      <c r="H3" s="11"/>
      <c r="I3" s="10"/>
    </row>
    <row r="4" spans="1:9" ht="15" customHeight="1" x14ac:dyDescent="0.25">
      <c r="A4" s="9" t="s">
        <v>4</v>
      </c>
      <c r="B4" s="9"/>
      <c r="C4" s="8" t="str">
        <f>'Stavební rozpočet'!D4</f>
        <v>Postupná demolice panelového domu</v>
      </c>
      <c r="D4" s="8"/>
      <c r="E4" s="8" t="s">
        <v>5</v>
      </c>
      <c r="F4" s="8" t="str">
        <f>'Stavební rozpočet'!J4</f>
        <v>Ing.  Roman Zvěřina, Dolní Česká 358/25, 669 02 Znojmo</v>
      </c>
      <c r="G4" s="8"/>
      <c r="H4" s="8" t="s">
        <v>3</v>
      </c>
      <c r="I4" s="7" t="s">
        <v>6</v>
      </c>
    </row>
    <row r="5" spans="1:9" ht="15" customHeight="1" x14ac:dyDescent="0.25">
      <c r="A5" s="9"/>
      <c r="B5" s="9"/>
      <c r="C5" s="8"/>
      <c r="D5" s="8"/>
      <c r="E5" s="8"/>
      <c r="F5" s="8"/>
      <c r="G5" s="8"/>
      <c r="H5" s="8"/>
      <c r="I5" s="7"/>
    </row>
    <row r="6" spans="1:9" ht="15" customHeight="1" x14ac:dyDescent="0.25">
      <c r="A6" s="9" t="s">
        <v>7</v>
      </c>
      <c r="B6" s="9"/>
      <c r="C6" s="8" t="str">
        <f>'Stavební rozpočet'!D6</f>
        <v>k.ú.Znojmo-město parc.č.258/5</v>
      </c>
      <c r="D6" s="8"/>
      <c r="E6" s="8" t="s">
        <v>8</v>
      </c>
      <c r="F6" s="8" t="str">
        <f>'Stavební rozpočet'!J6</f>
        <v> </v>
      </c>
      <c r="G6" s="8"/>
      <c r="H6" s="8" t="s">
        <v>3</v>
      </c>
      <c r="I6" s="7"/>
    </row>
    <row r="7" spans="1:9" ht="15" customHeight="1" x14ac:dyDescent="0.25">
      <c r="A7" s="9"/>
      <c r="B7" s="9"/>
      <c r="C7" s="8"/>
      <c r="D7" s="8"/>
      <c r="E7" s="8"/>
      <c r="F7" s="8"/>
      <c r="G7" s="8"/>
      <c r="H7" s="8"/>
      <c r="I7" s="7"/>
    </row>
    <row r="8" spans="1:9" ht="15" customHeight="1" x14ac:dyDescent="0.25">
      <c r="A8" s="9" t="s">
        <v>9</v>
      </c>
      <c r="B8" s="9"/>
      <c r="C8" s="8" t="str">
        <f>'Stavební rozpočet'!H4</f>
        <v xml:space="preserve"> </v>
      </c>
      <c r="D8" s="8"/>
      <c r="E8" s="8" t="s">
        <v>10</v>
      </c>
      <c r="F8" s="8" t="str">
        <f>'Stavební rozpočet'!H6</f>
        <v xml:space="preserve"> </v>
      </c>
      <c r="G8" s="8"/>
      <c r="H8" s="6" t="s">
        <v>11</v>
      </c>
      <c r="I8" s="5">
        <v>6</v>
      </c>
    </row>
    <row r="9" spans="1:9" ht="13.2" x14ac:dyDescent="0.25">
      <c r="A9" s="9"/>
      <c r="B9" s="9"/>
      <c r="C9" s="8"/>
      <c r="D9" s="8"/>
      <c r="E9" s="8"/>
      <c r="F9" s="8"/>
      <c r="G9" s="8"/>
      <c r="H9" s="6"/>
      <c r="I9" s="5"/>
    </row>
    <row r="10" spans="1:9" ht="15" customHeight="1" x14ac:dyDescent="0.25">
      <c r="A10" s="4" t="s">
        <v>12</v>
      </c>
      <c r="B10" s="4"/>
      <c r="C10" s="3" t="str">
        <f>'Stavební rozpočet'!D8</f>
        <v>80331</v>
      </c>
      <c r="D10" s="3"/>
      <c r="E10" s="3" t="s">
        <v>13</v>
      </c>
      <c r="F10" s="3" t="str">
        <f>'Stavební rozpočet'!J8</f>
        <v>Bohuslav Hemala</v>
      </c>
      <c r="G10" s="3"/>
      <c r="H10" s="2" t="s">
        <v>14</v>
      </c>
      <c r="I10" s="1" t="str">
        <f>'Stavební rozpočet'!H8</f>
        <v>16.05.2025</v>
      </c>
    </row>
    <row r="11" spans="1:9" ht="13.2" x14ac:dyDescent="0.25">
      <c r="A11" s="4"/>
      <c r="B11" s="4"/>
      <c r="C11" s="3"/>
      <c r="D11" s="3"/>
      <c r="E11" s="3"/>
      <c r="F11" s="3"/>
      <c r="G11" s="3"/>
      <c r="H11" s="2"/>
      <c r="I11" s="1"/>
    </row>
    <row r="13" spans="1:9" ht="15.6" x14ac:dyDescent="0.3">
      <c r="A13" s="173" t="s">
        <v>75</v>
      </c>
      <c r="B13" s="173"/>
      <c r="C13" s="173"/>
      <c r="D13" s="173"/>
      <c r="E13" s="173"/>
    </row>
    <row r="14" spans="1:9" ht="13.2" x14ac:dyDescent="0.25">
      <c r="A14" s="174" t="s">
        <v>76</v>
      </c>
      <c r="B14" s="174"/>
      <c r="C14" s="174"/>
      <c r="D14" s="174"/>
      <c r="E14" s="174"/>
      <c r="F14" s="39" t="s">
        <v>77</v>
      </c>
      <c r="G14" s="39" t="s">
        <v>78</v>
      </c>
      <c r="H14" s="39" t="s">
        <v>79</v>
      </c>
      <c r="I14" s="39" t="s">
        <v>77</v>
      </c>
    </row>
    <row r="15" spans="1:9" ht="13.2" x14ac:dyDescent="0.25">
      <c r="A15" s="175" t="s">
        <v>38</v>
      </c>
      <c r="B15" s="175"/>
      <c r="C15" s="175"/>
      <c r="D15" s="175"/>
      <c r="E15" s="175"/>
      <c r="F15" s="40">
        <v>0</v>
      </c>
      <c r="G15" s="41"/>
      <c r="H15" s="41"/>
      <c r="I15" s="40">
        <f>F15</f>
        <v>0</v>
      </c>
    </row>
    <row r="16" spans="1:9" ht="13.2" x14ac:dyDescent="0.25">
      <c r="A16" s="175" t="s">
        <v>40</v>
      </c>
      <c r="B16" s="175"/>
      <c r="C16" s="175"/>
      <c r="D16" s="175"/>
      <c r="E16" s="175"/>
      <c r="F16" s="40">
        <v>0</v>
      </c>
      <c r="G16" s="41"/>
      <c r="H16" s="41"/>
      <c r="I16" s="40">
        <f>F16</f>
        <v>0</v>
      </c>
    </row>
    <row r="17" spans="1:9" ht="13.2" x14ac:dyDescent="0.25">
      <c r="A17" s="176" t="s">
        <v>42</v>
      </c>
      <c r="B17" s="176"/>
      <c r="C17" s="176"/>
      <c r="D17" s="176"/>
      <c r="E17" s="176"/>
      <c r="F17" s="42">
        <v>0</v>
      </c>
      <c r="G17" s="17"/>
      <c r="H17" s="17"/>
      <c r="I17" s="42">
        <f>F17</f>
        <v>0</v>
      </c>
    </row>
    <row r="18" spans="1:9" ht="13.2" x14ac:dyDescent="0.25">
      <c r="A18" s="177" t="s">
        <v>80</v>
      </c>
      <c r="B18" s="177"/>
      <c r="C18" s="177"/>
      <c r="D18" s="177"/>
      <c r="E18" s="177"/>
      <c r="F18" s="43"/>
      <c r="G18" s="44"/>
      <c r="H18" s="44"/>
      <c r="I18" s="45">
        <f>SUM(I15:I17)</f>
        <v>0</v>
      </c>
    </row>
    <row r="20" spans="1:9" ht="13.2" x14ac:dyDescent="0.25">
      <c r="A20" s="174" t="s">
        <v>81</v>
      </c>
      <c r="B20" s="174"/>
      <c r="C20" s="174"/>
      <c r="D20" s="174"/>
      <c r="E20" s="174"/>
      <c r="F20" s="39" t="s">
        <v>77</v>
      </c>
      <c r="G20" s="39" t="s">
        <v>78</v>
      </c>
      <c r="H20" s="39" t="s">
        <v>79</v>
      </c>
      <c r="I20" s="39" t="s">
        <v>77</v>
      </c>
    </row>
    <row r="21" spans="1:9" ht="13.2" x14ac:dyDescent="0.25">
      <c r="A21" s="175" t="s">
        <v>82</v>
      </c>
      <c r="B21" s="175"/>
      <c r="C21" s="175"/>
      <c r="D21" s="175"/>
      <c r="E21" s="175"/>
      <c r="F21" s="40">
        <v>0</v>
      </c>
      <c r="G21" s="41"/>
      <c r="H21" s="41"/>
      <c r="I21" s="40">
        <f t="shared" ref="I21:I26" si="0">F21</f>
        <v>0</v>
      </c>
    </row>
    <row r="22" spans="1:9" ht="13.2" x14ac:dyDescent="0.25">
      <c r="A22" s="175" t="s">
        <v>83</v>
      </c>
      <c r="B22" s="175"/>
      <c r="C22" s="175"/>
      <c r="D22" s="175"/>
      <c r="E22" s="175"/>
      <c r="F22" s="40">
        <v>0</v>
      </c>
      <c r="G22" s="41"/>
      <c r="H22" s="41"/>
      <c r="I22" s="40">
        <f t="shared" si="0"/>
        <v>0</v>
      </c>
    </row>
    <row r="23" spans="1:9" ht="13.2" x14ac:dyDescent="0.25">
      <c r="A23" s="175" t="s">
        <v>84</v>
      </c>
      <c r="B23" s="175"/>
      <c r="C23" s="175"/>
      <c r="D23" s="175"/>
      <c r="E23" s="175"/>
      <c r="F23" s="40">
        <v>0</v>
      </c>
      <c r="G23" s="41"/>
      <c r="H23" s="41"/>
      <c r="I23" s="40">
        <f t="shared" si="0"/>
        <v>0</v>
      </c>
    </row>
    <row r="24" spans="1:9" ht="13.2" x14ac:dyDescent="0.25">
      <c r="A24" s="175" t="s">
        <v>85</v>
      </c>
      <c r="B24" s="175"/>
      <c r="C24" s="175"/>
      <c r="D24" s="175"/>
      <c r="E24" s="175"/>
      <c r="F24" s="40">
        <v>0</v>
      </c>
      <c r="G24" s="41"/>
      <c r="H24" s="41"/>
      <c r="I24" s="40">
        <f t="shared" si="0"/>
        <v>0</v>
      </c>
    </row>
    <row r="25" spans="1:9" ht="13.2" x14ac:dyDescent="0.25">
      <c r="A25" s="175" t="s">
        <v>86</v>
      </c>
      <c r="B25" s="175"/>
      <c r="C25" s="175"/>
      <c r="D25" s="175"/>
      <c r="E25" s="175"/>
      <c r="F25" s="40">
        <v>0</v>
      </c>
      <c r="G25" s="41"/>
      <c r="H25" s="41"/>
      <c r="I25" s="40">
        <f t="shared" si="0"/>
        <v>0</v>
      </c>
    </row>
    <row r="26" spans="1:9" ht="13.2" x14ac:dyDescent="0.25">
      <c r="A26" s="176" t="s">
        <v>87</v>
      </c>
      <c r="B26" s="176"/>
      <c r="C26" s="176"/>
      <c r="D26" s="176"/>
      <c r="E26" s="176"/>
      <c r="F26" s="42">
        <v>0</v>
      </c>
      <c r="G26" s="17"/>
      <c r="H26" s="17"/>
      <c r="I26" s="42">
        <f t="shared" si="0"/>
        <v>0</v>
      </c>
    </row>
    <row r="27" spans="1:9" ht="13.2" x14ac:dyDescent="0.25">
      <c r="A27" s="177" t="s">
        <v>88</v>
      </c>
      <c r="B27" s="177"/>
      <c r="C27" s="177"/>
      <c r="D27" s="177"/>
      <c r="E27" s="177"/>
      <c r="F27" s="43"/>
      <c r="G27" s="44"/>
      <c r="H27" s="44"/>
      <c r="I27" s="45">
        <f>SUM(I21:I26)</f>
        <v>0</v>
      </c>
    </row>
    <row r="29" spans="1:9" ht="15.6" x14ac:dyDescent="0.25">
      <c r="A29" s="178" t="s">
        <v>89</v>
      </c>
      <c r="B29" s="178"/>
      <c r="C29" s="178"/>
      <c r="D29" s="178"/>
      <c r="E29" s="178"/>
      <c r="F29" s="179">
        <f>I18+I27</f>
        <v>0</v>
      </c>
      <c r="G29" s="179"/>
      <c r="H29" s="179"/>
      <c r="I29" s="179"/>
    </row>
    <row r="33" spans="1:9" ht="15.6" x14ac:dyDescent="0.3">
      <c r="A33" s="173" t="s">
        <v>90</v>
      </c>
      <c r="B33" s="173"/>
      <c r="C33" s="173"/>
      <c r="D33" s="173"/>
      <c r="E33" s="173"/>
    </row>
    <row r="34" spans="1:9" ht="13.2" x14ac:dyDescent="0.25">
      <c r="A34" s="174" t="s">
        <v>91</v>
      </c>
      <c r="B34" s="174"/>
      <c r="C34" s="174"/>
      <c r="D34" s="174"/>
      <c r="E34" s="174"/>
      <c r="F34" s="39" t="s">
        <v>77</v>
      </c>
      <c r="G34" s="39" t="s">
        <v>78</v>
      </c>
      <c r="H34" s="39" t="s">
        <v>79</v>
      </c>
      <c r="I34" s="39" t="s">
        <v>77</v>
      </c>
    </row>
    <row r="35" spans="1:9" ht="13.2" x14ac:dyDescent="0.25">
      <c r="A35" s="176"/>
      <c r="B35" s="176"/>
      <c r="C35" s="176"/>
      <c r="D35" s="176"/>
      <c r="E35" s="176"/>
      <c r="F35" s="42">
        <v>0</v>
      </c>
      <c r="G35" s="17"/>
      <c r="H35" s="17"/>
      <c r="I35" s="42">
        <f>F35</f>
        <v>0</v>
      </c>
    </row>
    <row r="36" spans="1:9" ht="13.2" x14ac:dyDescent="0.25">
      <c r="A36" s="177" t="s">
        <v>92</v>
      </c>
      <c r="B36" s="177"/>
      <c r="C36" s="177"/>
      <c r="D36" s="177"/>
      <c r="E36" s="177"/>
      <c r="F36" s="43"/>
      <c r="G36" s="44"/>
      <c r="H36" s="44"/>
      <c r="I36" s="45">
        <f>SUM(I35)</f>
        <v>0</v>
      </c>
    </row>
  </sheetData>
  <mergeCells count="51">
    <mergeCell ref="F29:I29"/>
    <mergeCell ref="A33:E33"/>
    <mergeCell ref="A34:E34"/>
    <mergeCell ref="A35:E35"/>
    <mergeCell ref="A36:E36"/>
    <mergeCell ref="A24:E24"/>
    <mergeCell ref="A25:E25"/>
    <mergeCell ref="A26:E26"/>
    <mergeCell ref="A27:E27"/>
    <mergeCell ref="A29:E29"/>
    <mergeCell ref="A18:E18"/>
    <mergeCell ref="A20:E20"/>
    <mergeCell ref="A21:E21"/>
    <mergeCell ref="A22:E22"/>
    <mergeCell ref="A23:E23"/>
    <mergeCell ref="A13:E13"/>
    <mergeCell ref="A14:E14"/>
    <mergeCell ref="A15:E15"/>
    <mergeCell ref="A16:E16"/>
    <mergeCell ref="A17:E17"/>
    <mergeCell ref="I8:I9"/>
    <mergeCell ref="A10:B11"/>
    <mergeCell ref="C10:D11"/>
    <mergeCell ref="E10:E11"/>
    <mergeCell ref="F10:G11"/>
    <mergeCell ref="H10:H11"/>
    <mergeCell ref="I10:I11"/>
    <mergeCell ref="A8:B9"/>
    <mergeCell ref="C8:D9"/>
    <mergeCell ref="E8:E9"/>
    <mergeCell ref="F8:G9"/>
    <mergeCell ref="H8:H9"/>
    <mergeCell ref="I4:I5"/>
    <mergeCell ref="A6:B7"/>
    <mergeCell ref="C6:D7"/>
    <mergeCell ref="E6:E7"/>
    <mergeCell ref="F6:G7"/>
    <mergeCell ref="H6:H7"/>
    <mergeCell ref="I6:I7"/>
    <mergeCell ref="A4:B5"/>
    <mergeCell ref="C4:D5"/>
    <mergeCell ref="E4:E5"/>
    <mergeCell ref="F4:G5"/>
    <mergeCell ref="H4:H5"/>
    <mergeCell ref="A1:I1"/>
    <mergeCell ref="A2:B3"/>
    <mergeCell ref="C2:D3"/>
    <mergeCell ref="E2:E3"/>
    <mergeCell ref="F2:G3"/>
    <mergeCell ref="H2:H3"/>
    <mergeCell ref="I2:I3"/>
  </mergeCells>
  <pageMargins left="0.39374999999999999" right="0.39374999999999999" top="0.59097222222222201" bottom="0.59097222222222201" header="0.511811023622047" footer="0.511811023622047"/>
  <pageSetup fitToHeight="0" orientation="landscape"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9932CC"/>
    <pageSetUpPr fitToPage="1"/>
  </sheetPr>
  <dimension ref="A1:BZ22"/>
  <sheetViews>
    <sheetView zoomScaleNormal="100" workbookViewId="0">
      <pane ySplit="11" topLeftCell="A12" activePane="bottomLeft" state="frozen"/>
      <selection pane="bottomLeft"/>
    </sheetView>
  </sheetViews>
  <sheetFormatPr defaultColWidth="12.109375" defaultRowHeight="14.4" x14ac:dyDescent="0.3"/>
  <cols>
    <col min="1" max="1" width="4" style="22" customWidth="1"/>
    <col min="2" max="2" width="7.5546875" style="22" customWidth="1"/>
    <col min="3" max="3" width="13.77734375" style="22" customWidth="1"/>
    <col min="4" max="4" width="42.88671875" style="65" customWidth="1"/>
    <col min="5" max="5" width="11.88671875" style="22" customWidth="1"/>
    <col min="6" max="6" width="4.33203125" style="22" customWidth="1"/>
    <col min="7" max="7" width="11" style="66" customWidth="1"/>
    <col min="8" max="8" width="10.33203125" style="22" customWidth="1"/>
    <col min="9" max="9" width="11.109375" style="22" customWidth="1"/>
    <col min="10" max="10" width="9.109375" style="22" customWidth="1"/>
    <col min="11" max="11" width="13.21875" style="22" customWidth="1"/>
    <col min="12" max="13" width="15.6640625" style="22" customWidth="1"/>
    <col min="14" max="14" width="8.77734375" style="22" customWidth="1"/>
    <col min="15" max="15" width="9.21875" style="22" customWidth="1"/>
    <col min="16" max="16" width="13.44140625" style="22" customWidth="1"/>
    <col min="25" max="75" width="12.109375" style="22" hidden="1"/>
    <col min="76" max="76" width="78.5546875" style="22" hidden="1" customWidth="1"/>
    <col min="77" max="78" width="12.109375" style="22" hidden="1"/>
  </cols>
  <sheetData>
    <row r="1" spans="1:76" ht="39.75" customHeight="1" x14ac:dyDescent="0.3">
      <c r="A1" s="205" t="s">
        <v>932</v>
      </c>
      <c r="B1" s="205"/>
      <c r="C1" s="205"/>
      <c r="D1" s="205"/>
      <c r="E1" s="205"/>
      <c r="F1" s="205"/>
      <c r="G1" s="205"/>
      <c r="H1" s="205"/>
      <c r="I1" s="205"/>
      <c r="J1" s="205"/>
      <c r="K1" s="205"/>
      <c r="L1" s="205"/>
      <c r="M1" s="205"/>
      <c r="N1" s="205"/>
      <c r="O1" s="205"/>
      <c r="P1" s="205"/>
      <c r="AS1" s="68">
        <f>SUM(AJ1:AJ2)</f>
        <v>0</v>
      </c>
      <c r="AT1" s="68">
        <f>SUM(AK1:AK2)</f>
        <v>0</v>
      </c>
      <c r="AU1" s="68">
        <f>SUM(AL1:AL2)</f>
        <v>0</v>
      </c>
    </row>
    <row r="2" spans="1:76" ht="15" customHeight="1" x14ac:dyDescent="0.3">
      <c r="A2" s="13" t="s">
        <v>1</v>
      </c>
      <c r="B2" s="13"/>
      <c r="C2" s="13"/>
      <c r="D2" s="12" t="str">
        <f>'Stavební rozpočet'!D2</f>
        <v>DEMOLICE PANELOVÉHO DOMU V HORNÍM PARKU</v>
      </c>
      <c r="E2" s="12"/>
      <c r="F2" s="193" t="s">
        <v>94</v>
      </c>
      <c r="G2" s="193"/>
      <c r="H2" s="11" t="str">
        <f>'Stavební rozpočet'!H2</f>
        <v xml:space="preserve"> </v>
      </c>
      <c r="I2" s="11" t="s">
        <v>2</v>
      </c>
      <c r="J2" s="11"/>
      <c r="K2" s="181" t="str">
        <f>'Stavební rozpočet'!J2</f>
        <v>MĚSTO ZNOJMO</v>
      </c>
      <c r="L2" s="181"/>
      <c r="M2" s="181"/>
      <c r="N2" s="181"/>
      <c r="O2" s="181"/>
      <c r="P2" s="181"/>
    </row>
    <row r="3" spans="1:76" x14ac:dyDescent="0.3">
      <c r="A3" s="13"/>
      <c r="B3" s="13"/>
      <c r="C3" s="13"/>
      <c r="D3" s="12"/>
      <c r="E3" s="12"/>
      <c r="F3" s="193"/>
      <c r="G3" s="193"/>
      <c r="H3" s="11"/>
      <c r="I3" s="11"/>
      <c r="J3" s="11"/>
      <c r="K3" s="181"/>
      <c r="L3" s="181"/>
      <c r="M3" s="181"/>
      <c r="N3" s="181"/>
      <c r="O3" s="181"/>
      <c r="P3" s="181"/>
    </row>
    <row r="4" spans="1:76" ht="15" customHeight="1" x14ac:dyDescent="0.3">
      <c r="A4" s="9" t="s">
        <v>4</v>
      </c>
      <c r="B4" s="9"/>
      <c r="C4" s="9"/>
      <c r="D4" s="8" t="str">
        <f>'Stavební rozpočet'!D4</f>
        <v>Postupná demolice panelového domu</v>
      </c>
      <c r="E4" s="8"/>
      <c r="F4" s="6" t="s">
        <v>9</v>
      </c>
      <c r="G4" s="6"/>
      <c r="H4" s="8" t="str">
        <f>'Stavební rozpočet'!H4</f>
        <v xml:space="preserve"> </v>
      </c>
      <c r="I4" s="8" t="s">
        <v>5</v>
      </c>
      <c r="J4" s="8"/>
      <c r="K4" s="182" t="str">
        <f>'Stavební rozpočet'!J4</f>
        <v>Ing.  Roman Zvěřina, Dolní Česká 358/25, 669 02 Znojmo</v>
      </c>
      <c r="L4" s="182"/>
      <c r="M4" s="182"/>
      <c r="N4" s="182"/>
      <c r="O4" s="182"/>
      <c r="P4" s="182"/>
    </row>
    <row r="5" spans="1:76" x14ac:dyDescent="0.3">
      <c r="A5" s="9"/>
      <c r="B5" s="9"/>
      <c r="C5" s="9"/>
      <c r="D5" s="8"/>
      <c r="E5" s="8"/>
      <c r="F5" s="6"/>
      <c r="G5" s="6"/>
      <c r="H5" s="8"/>
      <c r="I5" s="8"/>
      <c r="J5" s="8"/>
      <c r="K5" s="182"/>
      <c r="L5" s="182"/>
      <c r="M5" s="182"/>
      <c r="N5" s="182"/>
      <c r="O5" s="182"/>
      <c r="P5" s="182"/>
    </row>
    <row r="6" spans="1:76" ht="15" customHeight="1" x14ac:dyDescent="0.3">
      <c r="A6" s="9" t="s">
        <v>7</v>
      </c>
      <c r="B6" s="9"/>
      <c r="C6" s="9"/>
      <c r="D6" s="8" t="str">
        <f>'Stavební rozpočet'!D6</f>
        <v>k.ú.Znojmo-město parc.č.258/5</v>
      </c>
      <c r="E6" s="8"/>
      <c r="F6" s="6" t="s">
        <v>10</v>
      </c>
      <c r="G6" s="6"/>
      <c r="H6" s="8" t="str">
        <f>'Stavební rozpočet'!H6</f>
        <v xml:space="preserve"> </v>
      </c>
      <c r="I6" s="8" t="s">
        <v>8</v>
      </c>
      <c r="J6" s="8"/>
      <c r="K6" s="182" t="str">
        <f>'Stavební rozpočet'!J6</f>
        <v> </v>
      </c>
      <c r="L6" s="182"/>
      <c r="M6" s="182"/>
      <c r="N6" s="182"/>
      <c r="O6" s="182"/>
      <c r="P6" s="182"/>
    </row>
    <row r="7" spans="1:76" x14ac:dyDescent="0.3">
      <c r="A7" s="9"/>
      <c r="B7" s="9"/>
      <c r="C7" s="9"/>
      <c r="D7" s="8"/>
      <c r="E7" s="8"/>
      <c r="F7" s="6"/>
      <c r="G7" s="6"/>
      <c r="H7" s="8"/>
      <c r="I7" s="8"/>
      <c r="J7" s="8"/>
      <c r="K7" s="182"/>
      <c r="L7" s="182"/>
      <c r="M7" s="182"/>
      <c r="N7" s="182"/>
      <c r="O7" s="182"/>
      <c r="P7" s="182"/>
    </row>
    <row r="8" spans="1:76" ht="15" customHeight="1" x14ac:dyDescent="0.3">
      <c r="A8" s="9" t="s">
        <v>12</v>
      </c>
      <c r="B8" s="9"/>
      <c r="C8" s="9"/>
      <c r="D8" s="8" t="str">
        <f>'Stavební rozpočet'!D8</f>
        <v>80331</v>
      </c>
      <c r="E8" s="8"/>
      <c r="F8" s="6" t="s">
        <v>95</v>
      </c>
      <c r="G8" s="6"/>
      <c r="H8" s="8" t="str">
        <f>'Stavební rozpočet'!H8</f>
        <v>16.05.2025</v>
      </c>
      <c r="I8" s="8" t="s">
        <v>13</v>
      </c>
      <c r="J8" s="8"/>
      <c r="K8" s="182" t="str">
        <f>'Stavební rozpočet'!J8</f>
        <v>Bohuslav Hemala</v>
      </c>
      <c r="L8" s="182"/>
      <c r="M8" s="182"/>
      <c r="N8" s="182"/>
      <c r="O8" s="182"/>
      <c r="P8" s="182"/>
    </row>
    <row r="9" spans="1:76" x14ac:dyDescent="0.3">
      <c r="A9" s="9"/>
      <c r="B9" s="9"/>
      <c r="C9" s="9"/>
      <c r="D9" s="8"/>
      <c r="E9" s="8"/>
      <c r="F9" s="6"/>
      <c r="G9" s="6"/>
      <c r="H9" s="8"/>
      <c r="I9" s="8"/>
      <c r="J9" s="8"/>
      <c r="K9" s="182"/>
      <c r="L9" s="182"/>
      <c r="M9" s="182"/>
      <c r="N9" s="182"/>
      <c r="O9" s="182"/>
      <c r="P9" s="182"/>
    </row>
    <row r="10" spans="1:76" ht="15" customHeight="1" x14ac:dyDescent="0.3">
      <c r="A10" s="69" t="s">
        <v>122</v>
      </c>
      <c r="B10" s="70" t="s">
        <v>99</v>
      </c>
      <c r="C10" s="70" t="s">
        <v>123</v>
      </c>
      <c r="D10" s="194" t="s">
        <v>100</v>
      </c>
      <c r="E10" s="194"/>
      <c r="F10" s="70" t="s">
        <v>124</v>
      </c>
      <c r="G10" s="71" t="s">
        <v>125</v>
      </c>
      <c r="H10" s="72" t="s">
        <v>126</v>
      </c>
      <c r="I10" s="73" t="s">
        <v>920</v>
      </c>
      <c r="J10" s="184" t="s">
        <v>97</v>
      </c>
      <c r="K10" s="184"/>
      <c r="L10" s="184"/>
      <c r="M10" s="47" t="s">
        <v>97</v>
      </c>
      <c r="N10" s="195" t="s">
        <v>98</v>
      </c>
      <c r="O10" s="195"/>
      <c r="P10" s="74" t="s">
        <v>128</v>
      </c>
      <c r="BK10" s="75" t="s">
        <v>129</v>
      </c>
      <c r="BL10" s="76" t="s">
        <v>130</v>
      </c>
      <c r="BW10" s="76" t="s">
        <v>131</v>
      </c>
    </row>
    <row r="11" spans="1:76" ht="15" customHeight="1" x14ac:dyDescent="0.3">
      <c r="A11" s="77" t="s">
        <v>96</v>
      </c>
      <c r="B11" s="78" t="s">
        <v>96</v>
      </c>
      <c r="C11" s="78" t="s">
        <v>96</v>
      </c>
      <c r="D11" s="196" t="s">
        <v>132</v>
      </c>
      <c r="E11" s="196"/>
      <c r="F11" s="78" t="s">
        <v>96</v>
      </c>
      <c r="G11" s="79" t="s">
        <v>96</v>
      </c>
      <c r="H11" s="80" t="s">
        <v>133</v>
      </c>
      <c r="I11" s="81" t="s">
        <v>96</v>
      </c>
      <c r="J11" s="49" t="s">
        <v>101</v>
      </c>
      <c r="K11" s="50" t="s">
        <v>39</v>
      </c>
      <c r="L11" s="51" t="s">
        <v>102</v>
      </c>
      <c r="M11" s="51" t="s">
        <v>135</v>
      </c>
      <c r="N11" s="50" t="s">
        <v>136</v>
      </c>
      <c r="O11" s="80" t="s">
        <v>102</v>
      </c>
      <c r="P11" s="49" t="s">
        <v>137</v>
      </c>
      <c r="Z11" s="75" t="s">
        <v>138</v>
      </c>
      <c r="AA11" s="75" t="s">
        <v>139</v>
      </c>
      <c r="AB11" s="75" t="s">
        <v>140</v>
      </c>
      <c r="AC11" s="75" t="s">
        <v>141</v>
      </c>
      <c r="AD11" s="75" t="s">
        <v>142</v>
      </c>
      <c r="AE11" s="75" t="s">
        <v>143</v>
      </c>
      <c r="AF11" s="75" t="s">
        <v>144</v>
      </c>
      <c r="AG11" s="75" t="s">
        <v>145</v>
      </c>
      <c r="AH11" s="75" t="s">
        <v>146</v>
      </c>
      <c r="BH11" s="75" t="s">
        <v>147</v>
      </c>
      <c r="BI11" s="75" t="s">
        <v>148</v>
      </c>
      <c r="BJ11" s="75" t="s">
        <v>149</v>
      </c>
    </row>
    <row r="12" spans="1:76" ht="19.8" customHeight="1" x14ac:dyDescent="0.3">
      <c r="A12" s="60"/>
      <c r="B12" s="119" t="s">
        <v>110</v>
      </c>
      <c r="C12" s="119"/>
      <c r="D12" s="203" t="s">
        <v>111</v>
      </c>
      <c r="E12" s="203"/>
      <c r="F12" s="60" t="s">
        <v>96</v>
      </c>
      <c r="G12" s="120" t="s">
        <v>96</v>
      </c>
      <c r="H12" s="60" t="s">
        <v>96</v>
      </c>
      <c r="I12" s="60" t="s">
        <v>96</v>
      </c>
      <c r="J12" s="121">
        <f>J13</f>
        <v>0</v>
      </c>
      <c r="K12" s="121">
        <f>K13</f>
        <v>0</v>
      </c>
      <c r="L12" s="121">
        <f>L13</f>
        <v>0</v>
      </c>
      <c r="M12" s="121">
        <f>M13</f>
        <v>0</v>
      </c>
      <c r="N12" s="122"/>
      <c r="O12" s="121">
        <f>O13</f>
        <v>0</v>
      </c>
      <c r="P12" s="122"/>
    </row>
    <row r="13" spans="1:76" ht="15" customHeight="1" x14ac:dyDescent="0.3">
      <c r="A13" s="88"/>
      <c r="B13" s="89" t="s">
        <v>110</v>
      </c>
      <c r="C13" s="89" t="s">
        <v>489</v>
      </c>
      <c r="D13" s="198" t="s">
        <v>561</v>
      </c>
      <c r="E13" s="198"/>
      <c r="F13" s="88" t="s">
        <v>96</v>
      </c>
      <c r="G13" s="90" t="s">
        <v>96</v>
      </c>
      <c r="H13" s="88" t="s">
        <v>96</v>
      </c>
      <c r="I13" s="88" t="s">
        <v>96</v>
      </c>
      <c r="J13" s="91">
        <f>SUM(J14:J19)</f>
        <v>0</v>
      </c>
      <c r="K13" s="91">
        <f>SUM(K14:K19)</f>
        <v>0</v>
      </c>
      <c r="L13" s="91">
        <f>SUM(L14:L19)</f>
        <v>0</v>
      </c>
      <c r="M13" s="91">
        <f>SUM(M14:M19)</f>
        <v>0</v>
      </c>
      <c r="N13" s="92"/>
      <c r="O13" s="91">
        <f>SUM(O14:O19)</f>
        <v>0</v>
      </c>
      <c r="P13" s="92"/>
      <c r="AI13" s="75" t="s">
        <v>110</v>
      </c>
      <c r="AS13" s="68">
        <f>SUM(AJ14:AJ19)</f>
        <v>0</v>
      </c>
      <c r="AT13" s="68">
        <f>SUM(AK14:AK19)</f>
        <v>0</v>
      </c>
      <c r="AU13" s="68">
        <f>SUM(AL14:AL19)</f>
        <v>0</v>
      </c>
    </row>
    <row r="14" spans="1:76" ht="23.85" customHeight="1" x14ac:dyDescent="0.3">
      <c r="A14" s="94" t="s">
        <v>152</v>
      </c>
      <c r="B14" s="94" t="s">
        <v>110</v>
      </c>
      <c r="C14" s="94" t="s">
        <v>563</v>
      </c>
      <c r="D14" s="199" t="s">
        <v>564</v>
      </c>
      <c r="E14" s="199"/>
      <c r="F14" s="94" t="s">
        <v>287</v>
      </c>
      <c r="G14" s="96">
        <f>'Stavební rozpočet'!G171</f>
        <v>16</v>
      </c>
      <c r="H14" s="97">
        <f>'Stavební rozpočet'!H171</f>
        <v>0</v>
      </c>
      <c r="I14" s="98">
        <v>21</v>
      </c>
      <c r="J14" s="97">
        <f t="shared" ref="J14:J19" si="0">ROUND(G14*AO14,2)</f>
        <v>0</v>
      </c>
      <c r="K14" s="97">
        <f t="shared" ref="K14:K19" si="1">ROUND(G14*AP14,2)</f>
        <v>0</v>
      </c>
      <c r="L14" s="97">
        <f t="shared" ref="L14:L19" si="2">ROUND(G14*H14,2)</f>
        <v>0</v>
      </c>
      <c r="M14" s="97">
        <f t="shared" ref="M14:M19" si="3">L14*(1+BW14/100)</f>
        <v>0</v>
      </c>
      <c r="N14" s="97">
        <f>'Stavební rozpočet'!N171</f>
        <v>0</v>
      </c>
      <c r="O14" s="97">
        <f t="shared" ref="O14:O19" si="4">G14*N14</f>
        <v>0</v>
      </c>
      <c r="P14" s="99" t="s">
        <v>156</v>
      </c>
      <c r="Z14" s="55">
        <f t="shared" ref="Z14:Z19" si="5">ROUND(IF(AQ14="5",BJ14,0),2)</f>
        <v>0</v>
      </c>
      <c r="AB14" s="55">
        <f t="shared" ref="AB14:AB19" si="6">ROUND(IF(AQ14="1",BH14,0),2)</f>
        <v>0</v>
      </c>
      <c r="AC14" s="55">
        <f t="shared" ref="AC14:AC19" si="7">ROUND(IF(AQ14="1",BI14,0),2)</f>
        <v>0</v>
      </c>
      <c r="AD14" s="55">
        <f t="shared" ref="AD14:AD19" si="8">ROUND(IF(AQ14="7",BH14,0),2)</f>
        <v>0</v>
      </c>
      <c r="AE14" s="55">
        <f t="shared" ref="AE14:AE19" si="9">ROUND(IF(AQ14="7",BI14,0),2)</f>
        <v>0</v>
      </c>
      <c r="AF14" s="55">
        <f t="shared" ref="AF14:AF19" si="10">ROUND(IF(AQ14="2",BH14,0),2)</f>
        <v>0</v>
      </c>
      <c r="AG14" s="55">
        <f t="shared" ref="AG14:AG19" si="11">ROUND(IF(AQ14="2",BI14,0),2)</f>
        <v>0</v>
      </c>
      <c r="AH14" s="55">
        <f t="shared" ref="AH14:AH19" si="12">ROUND(IF(AQ14="0",BJ14,0),2)</f>
        <v>0</v>
      </c>
      <c r="AI14" s="75" t="s">
        <v>110</v>
      </c>
      <c r="AJ14" s="55">
        <f t="shared" ref="AJ14:AJ19" si="13">IF(AN14=0,L14,0)</f>
        <v>0</v>
      </c>
      <c r="AK14" s="55">
        <f t="shared" ref="AK14:AK19" si="14">IF(AN14=12,L14,0)</f>
        <v>0</v>
      </c>
      <c r="AL14" s="55">
        <f t="shared" ref="AL14:AL19" si="15">IF(AN14=21,L14,0)</f>
        <v>0</v>
      </c>
      <c r="AN14" s="55">
        <v>21</v>
      </c>
      <c r="AO14" s="55">
        <f t="shared" ref="AO14:AO19" si="16">H14*0</f>
        <v>0</v>
      </c>
      <c r="AP14" s="55">
        <f t="shared" ref="AP14:AP19" si="17">H14*(1-0)</f>
        <v>0</v>
      </c>
      <c r="AQ14" s="54" t="s">
        <v>162</v>
      </c>
      <c r="AV14" s="55">
        <f t="shared" ref="AV14:AV19" si="18">ROUND(AW14+AX14,2)</f>
        <v>0</v>
      </c>
      <c r="AW14" s="55">
        <f t="shared" ref="AW14:AW19" si="19">ROUND(G14*AO14,2)</f>
        <v>0</v>
      </c>
      <c r="AX14" s="55">
        <f t="shared" ref="AX14:AX19" si="20">ROUND(G14*AP14,2)</f>
        <v>0</v>
      </c>
      <c r="AY14" s="54" t="s">
        <v>565</v>
      </c>
      <c r="AZ14" s="54" t="s">
        <v>566</v>
      </c>
      <c r="BA14" s="75" t="s">
        <v>567</v>
      </c>
      <c r="BC14" s="55">
        <f t="shared" ref="BC14:BC19" si="21">AW14+AX14</f>
        <v>0</v>
      </c>
      <c r="BD14" s="55">
        <f t="shared" ref="BD14:BD19" si="22">H14/(100-BE14)*100</f>
        <v>0</v>
      </c>
      <c r="BE14" s="55">
        <v>0</v>
      </c>
      <c r="BF14" s="55">
        <f t="shared" ref="BF14:BF19" si="23">O14</f>
        <v>0</v>
      </c>
      <c r="BH14" s="55">
        <f t="shared" ref="BH14:BH19" si="24">G14*AO14</f>
        <v>0</v>
      </c>
      <c r="BI14" s="55">
        <f t="shared" ref="BI14:BI19" si="25">G14*AP14</f>
        <v>0</v>
      </c>
      <c r="BJ14" s="55">
        <f t="shared" ref="BJ14:BJ19" si="26">G14*H14</f>
        <v>0</v>
      </c>
      <c r="BK14" s="54" t="s">
        <v>161</v>
      </c>
      <c r="BL14" s="55"/>
      <c r="BW14" s="55">
        <f t="shared" ref="BW14:BW19" si="27">I14</f>
        <v>21</v>
      </c>
      <c r="BX14" s="16" t="s">
        <v>564</v>
      </c>
    </row>
    <row r="15" spans="1:76" ht="23.85" customHeight="1" x14ac:dyDescent="0.3">
      <c r="A15" s="94" t="s">
        <v>162</v>
      </c>
      <c r="B15" s="94" t="s">
        <v>110</v>
      </c>
      <c r="C15" s="94" t="s">
        <v>563</v>
      </c>
      <c r="D15" s="199" t="s">
        <v>569</v>
      </c>
      <c r="E15" s="199"/>
      <c r="F15" s="94" t="s">
        <v>287</v>
      </c>
      <c r="G15" s="96">
        <f>'Stavební rozpočet'!G172</f>
        <v>35</v>
      </c>
      <c r="H15" s="97">
        <f>'Stavební rozpočet'!H172</f>
        <v>0</v>
      </c>
      <c r="I15" s="98">
        <v>21</v>
      </c>
      <c r="J15" s="97">
        <f t="shared" si="0"/>
        <v>0</v>
      </c>
      <c r="K15" s="97">
        <f t="shared" si="1"/>
        <v>0</v>
      </c>
      <c r="L15" s="97">
        <f t="shared" si="2"/>
        <v>0</v>
      </c>
      <c r="M15" s="97">
        <f t="shared" si="3"/>
        <v>0</v>
      </c>
      <c r="N15" s="97">
        <f>'Stavební rozpočet'!N172</f>
        <v>0</v>
      </c>
      <c r="O15" s="97">
        <f t="shared" si="4"/>
        <v>0</v>
      </c>
      <c r="P15" s="99" t="s">
        <v>156</v>
      </c>
      <c r="Z15" s="55">
        <f t="shared" si="5"/>
        <v>0</v>
      </c>
      <c r="AB15" s="55">
        <f t="shared" si="6"/>
        <v>0</v>
      </c>
      <c r="AC15" s="55">
        <f t="shared" si="7"/>
        <v>0</v>
      </c>
      <c r="AD15" s="55">
        <f t="shared" si="8"/>
        <v>0</v>
      </c>
      <c r="AE15" s="55">
        <f t="shared" si="9"/>
        <v>0</v>
      </c>
      <c r="AF15" s="55">
        <f t="shared" si="10"/>
        <v>0</v>
      </c>
      <c r="AG15" s="55">
        <f t="shared" si="11"/>
        <v>0</v>
      </c>
      <c r="AH15" s="55">
        <f t="shared" si="12"/>
        <v>0</v>
      </c>
      <c r="AI15" s="75" t="s">
        <v>110</v>
      </c>
      <c r="AJ15" s="55">
        <f t="shared" si="13"/>
        <v>0</v>
      </c>
      <c r="AK15" s="55">
        <f t="shared" si="14"/>
        <v>0</v>
      </c>
      <c r="AL15" s="55">
        <f t="shared" si="15"/>
        <v>0</v>
      </c>
      <c r="AN15" s="55">
        <v>21</v>
      </c>
      <c r="AO15" s="55">
        <f t="shared" si="16"/>
        <v>0</v>
      </c>
      <c r="AP15" s="55">
        <f t="shared" si="17"/>
        <v>0</v>
      </c>
      <c r="AQ15" s="54" t="s">
        <v>162</v>
      </c>
      <c r="AV15" s="55">
        <f t="shared" si="18"/>
        <v>0</v>
      </c>
      <c r="AW15" s="55">
        <f t="shared" si="19"/>
        <v>0</v>
      </c>
      <c r="AX15" s="55">
        <f t="shared" si="20"/>
        <v>0</v>
      </c>
      <c r="AY15" s="54" t="s">
        <v>565</v>
      </c>
      <c r="AZ15" s="54" t="s">
        <v>566</v>
      </c>
      <c r="BA15" s="75" t="s">
        <v>567</v>
      </c>
      <c r="BC15" s="55">
        <f t="shared" si="21"/>
        <v>0</v>
      </c>
      <c r="BD15" s="55">
        <f t="shared" si="22"/>
        <v>0</v>
      </c>
      <c r="BE15" s="55">
        <v>0</v>
      </c>
      <c r="BF15" s="55">
        <f t="shared" si="23"/>
        <v>0</v>
      </c>
      <c r="BH15" s="55">
        <f t="shared" si="24"/>
        <v>0</v>
      </c>
      <c r="BI15" s="55">
        <f t="shared" si="25"/>
        <v>0</v>
      </c>
      <c r="BJ15" s="55">
        <f t="shared" si="26"/>
        <v>0</v>
      </c>
      <c r="BK15" s="54" t="s">
        <v>161</v>
      </c>
      <c r="BL15" s="55"/>
      <c r="BW15" s="55">
        <f t="shared" si="27"/>
        <v>21</v>
      </c>
      <c r="BX15" s="16" t="s">
        <v>569</v>
      </c>
    </row>
    <row r="16" spans="1:76" ht="23.85" customHeight="1" x14ac:dyDescent="0.3">
      <c r="A16" s="94" t="s">
        <v>167</v>
      </c>
      <c r="B16" s="94" t="s">
        <v>110</v>
      </c>
      <c r="C16" s="94" t="s">
        <v>563</v>
      </c>
      <c r="D16" s="199" t="s">
        <v>571</v>
      </c>
      <c r="E16" s="199"/>
      <c r="F16" s="94" t="s">
        <v>287</v>
      </c>
      <c r="G16" s="96">
        <f>'Stavební rozpočet'!G173</f>
        <v>30</v>
      </c>
      <c r="H16" s="97">
        <f>'Stavební rozpočet'!H173</f>
        <v>0</v>
      </c>
      <c r="I16" s="98">
        <v>21</v>
      </c>
      <c r="J16" s="97">
        <f t="shared" si="0"/>
        <v>0</v>
      </c>
      <c r="K16" s="97">
        <f t="shared" si="1"/>
        <v>0</v>
      </c>
      <c r="L16" s="97">
        <f t="shared" si="2"/>
        <v>0</v>
      </c>
      <c r="M16" s="97">
        <f t="shared" si="3"/>
        <v>0</v>
      </c>
      <c r="N16" s="97">
        <f>'Stavební rozpočet'!N173</f>
        <v>0</v>
      </c>
      <c r="O16" s="97">
        <f t="shared" si="4"/>
        <v>0</v>
      </c>
      <c r="P16" s="99" t="s">
        <v>156</v>
      </c>
      <c r="Z16" s="55">
        <f t="shared" si="5"/>
        <v>0</v>
      </c>
      <c r="AB16" s="55">
        <f t="shared" si="6"/>
        <v>0</v>
      </c>
      <c r="AC16" s="55">
        <f t="shared" si="7"/>
        <v>0</v>
      </c>
      <c r="AD16" s="55">
        <f t="shared" si="8"/>
        <v>0</v>
      </c>
      <c r="AE16" s="55">
        <f t="shared" si="9"/>
        <v>0</v>
      </c>
      <c r="AF16" s="55">
        <f t="shared" si="10"/>
        <v>0</v>
      </c>
      <c r="AG16" s="55">
        <f t="shared" si="11"/>
        <v>0</v>
      </c>
      <c r="AH16" s="55">
        <f t="shared" si="12"/>
        <v>0</v>
      </c>
      <c r="AI16" s="75" t="s">
        <v>110</v>
      </c>
      <c r="AJ16" s="55">
        <f t="shared" si="13"/>
        <v>0</v>
      </c>
      <c r="AK16" s="55">
        <f t="shared" si="14"/>
        <v>0</v>
      </c>
      <c r="AL16" s="55">
        <f t="shared" si="15"/>
        <v>0</v>
      </c>
      <c r="AN16" s="55">
        <v>21</v>
      </c>
      <c r="AO16" s="55">
        <f t="shared" si="16"/>
        <v>0</v>
      </c>
      <c r="AP16" s="55">
        <f t="shared" si="17"/>
        <v>0</v>
      </c>
      <c r="AQ16" s="54" t="s">
        <v>162</v>
      </c>
      <c r="AV16" s="55">
        <f t="shared" si="18"/>
        <v>0</v>
      </c>
      <c r="AW16" s="55">
        <f t="shared" si="19"/>
        <v>0</v>
      </c>
      <c r="AX16" s="55">
        <f t="shared" si="20"/>
        <v>0</v>
      </c>
      <c r="AY16" s="54" t="s">
        <v>565</v>
      </c>
      <c r="AZ16" s="54" t="s">
        <v>566</v>
      </c>
      <c r="BA16" s="75" t="s">
        <v>567</v>
      </c>
      <c r="BC16" s="55">
        <f t="shared" si="21"/>
        <v>0</v>
      </c>
      <c r="BD16" s="55">
        <f t="shared" si="22"/>
        <v>0</v>
      </c>
      <c r="BE16" s="55">
        <v>0</v>
      </c>
      <c r="BF16" s="55">
        <f t="shared" si="23"/>
        <v>0</v>
      </c>
      <c r="BH16" s="55">
        <f t="shared" si="24"/>
        <v>0</v>
      </c>
      <c r="BI16" s="55">
        <f t="shared" si="25"/>
        <v>0</v>
      </c>
      <c r="BJ16" s="55">
        <f t="shared" si="26"/>
        <v>0</v>
      </c>
      <c r="BK16" s="54" t="s">
        <v>161</v>
      </c>
      <c r="BL16" s="55"/>
      <c r="BW16" s="55">
        <f t="shared" si="27"/>
        <v>21</v>
      </c>
      <c r="BX16" s="16" t="s">
        <v>571</v>
      </c>
    </row>
    <row r="17" spans="1:76" ht="23.85" customHeight="1" x14ac:dyDescent="0.3">
      <c r="A17" s="94" t="s">
        <v>173</v>
      </c>
      <c r="B17" s="94" t="s">
        <v>110</v>
      </c>
      <c r="C17" s="94" t="s">
        <v>563</v>
      </c>
      <c r="D17" s="199" t="s">
        <v>573</v>
      </c>
      <c r="E17" s="199"/>
      <c r="F17" s="94" t="s">
        <v>287</v>
      </c>
      <c r="G17" s="96">
        <f>'Stavební rozpočet'!G174</f>
        <v>40</v>
      </c>
      <c r="H17" s="97">
        <f>'Stavební rozpočet'!H174</f>
        <v>0</v>
      </c>
      <c r="I17" s="98">
        <v>21</v>
      </c>
      <c r="J17" s="97">
        <f t="shared" si="0"/>
        <v>0</v>
      </c>
      <c r="K17" s="97">
        <f t="shared" si="1"/>
        <v>0</v>
      </c>
      <c r="L17" s="97">
        <f t="shared" si="2"/>
        <v>0</v>
      </c>
      <c r="M17" s="97">
        <f t="shared" si="3"/>
        <v>0</v>
      </c>
      <c r="N17" s="97">
        <f>'Stavební rozpočet'!N174</f>
        <v>0</v>
      </c>
      <c r="O17" s="97">
        <f t="shared" si="4"/>
        <v>0</v>
      </c>
      <c r="P17" s="99" t="s">
        <v>156</v>
      </c>
      <c r="Z17" s="55">
        <f t="shared" si="5"/>
        <v>0</v>
      </c>
      <c r="AB17" s="55">
        <f t="shared" si="6"/>
        <v>0</v>
      </c>
      <c r="AC17" s="55">
        <f t="shared" si="7"/>
        <v>0</v>
      </c>
      <c r="AD17" s="55">
        <f t="shared" si="8"/>
        <v>0</v>
      </c>
      <c r="AE17" s="55">
        <f t="shared" si="9"/>
        <v>0</v>
      </c>
      <c r="AF17" s="55">
        <f t="shared" si="10"/>
        <v>0</v>
      </c>
      <c r="AG17" s="55">
        <f t="shared" si="11"/>
        <v>0</v>
      </c>
      <c r="AH17" s="55">
        <f t="shared" si="12"/>
        <v>0</v>
      </c>
      <c r="AI17" s="75" t="s">
        <v>110</v>
      </c>
      <c r="AJ17" s="55">
        <f t="shared" si="13"/>
        <v>0</v>
      </c>
      <c r="AK17" s="55">
        <f t="shared" si="14"/>
        <v>0</v>
      </c>
      <c r="AL17" s="55">
        <f t="shared" si="15"/>
        <v>0</v>
      </c>
      <c r="AN17" s="55">
        <v>21</v>
      </c>
      <c r="AO17" s="55">
        <f t="shared" si="16"/>
        <v>0</v>
      </c>
      <c r="AP17" s="55">
        <f t="shared" si="17"/>
        <v>0</v>
      </c>
      <c r="AQ17" s="54" t="s">
        <v>162</v>
      </c>
      <c r="AV17" s="55">
        <f t="shared" si="18"/>
        <v>0</v>
      </c>
      <c r="AW17" s="55">
        <f t="shared" si="19"/>
        <v>0</v>
      </c>
      <c r="AX17" s="55">
        <f t="shared" si="20"/>
        <v>0</v>
      </c>
      <c r="AY17" s="54" t="s">
        <v>565</v>
      </c>
      <c r="AZ17" s="54" t="s">
        <v>566</v>
      </c>
      <c r="BA17" s="75" t="s">
        <v>567</v>
      </c>
      <c r="BC17" s="55">
        <f t="shared" si="21"/>
        <v>0</v>
      </c>
      <c r="BD17" s="55">
        <f t="shared" si="22"/>
        <v>0</v>
      </c>
      <c r="BE17" s="55">
        <v>0</v>
      </c>
      <c r="BF17" s="55">
        <f t="shared" si="23"/>
        <v>0</v>
      </c>
      <c r="BH17" s="55">
        <f t="shared" si="24"/>
        <v>0</v>
      </c>
      <c r="BI17" s="55">
        <f t="shared" si="25"/>
        <v>0</v>
      </c>
      <c r="BJ17" s="55">
        <f t="shared" si="26"/>
        <v>0</v>
      </c>
      <c r="BK17" s="54" t="s">
        <v>161</v>
      </c>
      <c r="BL17" s="55"/>
      <c r="BW17" s="55">
        <f t="shared" si="27"/>
        <v>21</v>
      </c>
      <c r="BX17" s="16" t="s">
        <v>573</v>
      </c>
    </row>
    <row r="18" spans="1:76" ht="35.549999999999997" customHeight="1" x14ac:dyDescent="0.3">
      <c r="A18" s="94" t="s">
        <v>179</v>
      </c>
      <c r="B18" s="94" t="s">
        <v>110</v>
      </c>
      <c r="C18" s="94" t="s">
        <v>575</v>
      </c>
      <c r="D18" s="199" t="s">
        <v>576</v>
      </c>
      <c r="E18" s="199"/>
      <c r="F18" s="94" t="s">
        <v>78</v>
      </c>
      <c r="G18" s="96">
        <f>'Stavební rozpočet'!G175</f>
        <v>0</v>
      </c>
      <c r="H18" s="97">
        <f>'Stavební rozpočet'!H175</f>
        <v>0</v>
      </c>
      <c r="I18" s="98">
        <v>21</v>
      </c>
      <c r="J18" s="97">
        <f t="shared" si="0"/>
        <v>0</v>
      </c>
      <c r="K18" s="97">
        <f t="shared" si="1"/>
        <v>0</v>
      </c>
      <c r="L18" s="97">
        <f t="shared" si="2"/>
        <v>0</v>
      </c>
      <c r="M18" s="97">
        <f t="shared" si="3"/>
        <v>0</v>
      </c>
      <c r="N18" s="97">
        <f>'Stavební rozpočet'!N175</f>
        <v>0</v>
      </c>
      <c r="O18" s="97">
        <f t="shared" si="4"/>
        <v>0</v>
      </c>
      <c r="P18" s="99"/>
      <c r="Z18" s="55">
        <f t="shared" si="5"/>
        <v>0</v>
      </c>
      <c r="AB18" s="55">
        <f t="shared" si="6"/>
        <v>0</v>
      </c>
      <c r="AC18" s="55">
        <f t="shared" si="7"/>
        <v>0</v>
      </c>
      <c r="AD18" s="55">
        <f t="shared" si="8"/>
        <v>0</v>
      </c>
      <c r="AE18" s="55">
        <f t="shared" si="9"/>
        <v>0</v>
      </c>
      <c r="AF18" s="55">
        <f t="shared" si="10"/>
        <v>0</v>
      </c>
      <c r="AG18" s="55">
        <f t="shared" si="11"/>
        <v>0</v>
      </c>
      <c r="AH18" s="55">
        <f t="shared" si="12"/>
        <v>0</v>
      </c>
      <c r="AI18" s="75" t="s">
        <v>110</v>
      </c>
      <c r="AJ18" s="55">
        <f t="shared" si="13"/>
        <v>0</v>
      </c>
      <c r="AK18" s="55">
        <f t="shared" si="14"/>
        <v>0</v>
      </c>
      <c r="AL18" s="55">
        <f t="shared" si="15"/>
        <v>0</v>
      </c>
      <c r="AN18" s="55">
        <v>21</v>
      </c>
      <c r="AO18" s="55">
        <f t="shared" si="16"/>
        <v>0</v>
      </c>
      <c r="AP18" s="55">
        <f t="shared" si="17"/>
        <v>0</v>
      </c>
      <c r="AQ18" s="54" t="s">
        <v>162</v>
      </c>
      <c r="AV18" s="55">
        <f t="shared" si="18"/>
        <v>0</v>
      </c>
      <c r="AW18" s="55">
        <f t="shared" si="19"/>
        <v>0</v>
      </c>
      <c r="AX18" s="55">
        <f t="shared" si="20"/>
        <v>0</v>
      </c>
      <c r="AY18" s="54" t="s">
        <v>565</v>
      </c>
      <c r="AZ18" s="54" t="s">
        <v>566</v>
      </c>
      <c r="BA18" s="75" t="s">
        <v>567</v>
      </c>
      <c r="BC18" s="55">
        <f t="shared" si="21"/>
        <v>0</v>
      </c>
      <c r="BD18" s="55">
        <f t="shared" si="22"/>
        <v>0</v>
      </c>
      <c r="BE18" s="55">
        <v>0</v>
      </c>
      <c r="BF18" s="55">
        <f t="shared" si="23"/>
        <v>0</v>
      </c>
      <c r="BH18" s="55">
        <f t="shared" si="24"/>
        <v>0</v>
      </c>
      <c r="BI18" s="55">
        <f t="shared" si="25"/>
        <v>0</v>
      </c>
      <c r="BJ18" s="55">
        <f t="shared" si="26"/>
        <v>0</v>
      </c>
      <c r="BK18" s="54" t="s">
        <v>161</v>
      </c>
      <c r="BL18" s="55"/>
      <c r="BW18" s="55">
        <f t="shared" si="27"/>
        <v>21</v>
      </c>
      <c r="BX18" s="16" t="s">
        <v>576</v>
      </c>
    </row>
    <row r="19" spans="1:76" ht="15" customHeight="1" x14ac:dyDescent="0.3">
      <c r="A19" s="94" t="s">
        <v>182</v>
      </c>
      <c r="B19" s="94" t="s">
        <v>110</v>
      </c>
      <c r="C19" s="94" t="s">
        <v>578</v>
      </c>
      <c r="D19" s="199" t="s">
        <v>579</v>
      </c>
      <c r="E19" s="199"/>
      <c r="F19" s="94" t="s">
        <v>78</v>
      </c>
      <c r="G19" s="96">
        <f>'Stavební rozpočet'!G176</f>
        <v>0</v>
      </c>
      <c r="H19" s="97">
        <f>'Stavební rozpočet'!H176</f>
        <v>0</v>
      </c>
      <c r="I19" s="98">
        <v>21</v>
      </c>
      <c r="J19" s="97">
        <f t="shared" si="0"/>
        <v>0</v>
      </c>
      <c r="K19" s="97">
        <f t="shared" si="1"/>
        <v>0</v>
      </c>
      <c r="L19" s="97">
        <f t="shared" si="2"/>
        <v>0</v>
      </c>
      <c r="M19" s="97">
        <f t="shared" si="3"/>
        <v>0</v>
      </c>
      <c r="N19" s="97">
        <f>'Stavební rozpočet'!N176</f>
        <v>0</v>
      </c>
      <c r="O19" s="97">
        <f t="shared" si="4"/>
        <v>0</v>
      </c>
      <c r="P19" s="99"/>
      <c r="Z19" s="55">
        <f t="shared" si="5"/>
        <v>0</v>
      </c>
      <c r="AB19" s="55">
        <f t="shared" si="6"/>
        <v>0</v>
      </c>
      <c r="AC19" s="55">
        <f t="shared" si="7"/>
        <v>0</v>
      </c>
      <c r="AD19" s="55">
        <f t="shared" si="8"/>
        <v>0</v>
      </c>
      <c r="AE19" s="55">
        <f t="shared" si="9"/>
        <v>0</v>
      </c>
      <c r="AF19" s="55">
        <f t="shared" si="10"/>
        <v>0</v>
      </c>
      <c r="AG19" s="55">
        <f t="shared" si="11"/>
        <v>0</v>
      </c>
      <c r="AH19" s="55">
        <f t="shared" si="12"/>
        <v>0</v>
      </c>
      <c r="AI19" s="75" t="s">
        <v>110</v>
      </c>
      <c r="AJ19" s="55">
        <f t="shared" si="13"/>
        <v>0</v>
      </c>
      <c r="AK19" s="55">
        <f t="shared" si="14"/>
        <v>0</v>
      </c>
      <c r="AL19" s="55">
        <f t="shared" si="15"/>
        <v>0</v>
      </c>
      <c r="AN19" s="55">
        <v>21</v>
      </c>
      <c r="AO19" s="55">
        <f t="shared" si="16"/>
        <v>0</v>
      </c>
      <c r="AP19" s="55">
        <f t="shared" si="17"/>
        <v>0</v>
      </c>
      <c r="AQ19" s="54" t="s">
        <v>162</v>
      </c>
      <c r="AV19" s="55">
        <f t="shared" si="18"/>
        <v>0</v>
      </c>
      <c r="AW19" s="55">
        <f t="shared" si="19"/>
        <v>0</v>
      </c>
      <c r="AX19" s="55">
        <f t="shared" si="20"/>
        <v>0</v>
      </c>
      <c r="AY19" s="54" t="s">
        <v>565</v>
      </c>
      <c r="AZ19" s="54" t="s">
        <v>566</v>
      </c>
      <c r="BA19" s="75" t="s">
        <v>567</v>
      </c>
      <c r="BC19" s="55">
        <f t="shared" si="21"/>
        <v>0</v>
      </c>
      <c r="BD19" s="55">
        <f t="shared" si="22"/>
        <v>0</v>
      </c>
      <c r="BE19" s="55">
        <v>0</v>
      </c>
      <c r="BF19" s="55">
        <f t="shared" si="23"/>
        <v>0</v>
      </c>
      <c r="BH19" s="55">
        <f t="shared" si="24"/>
        <v>0</v>
      </c>
      <c r="BI19" s="55">
        <f t="shared" si="25"/>
        <v>0</v>
      </c>
      <c r="BJ19" s="55">
        <f t="shared" si="26"/>
        <v>0</v>
      </c>
      <c r="BK19" s="54" t="s">
        <v>161</v>
      </c>
      <c r="BL19" s="55"/>
      <c r="BW19" s="55">
        <f t="shared" si="27"/>
        <v>21</v>
      </c>
      <c r="BX19" s="16" t="s">
        <v>579</v>
      </c>
    </row>
    <row r="20" spans="1:76" ht="19.8" customHeight="1" x14ac:dyDescent="0.3">
      <c r="J20" s="191" t="s">
        <v>113</v>
      </c>
      <c r="K20" s="191"/>
      <c r="L20" s="129">
        <f>ROUND(L13,1)</f>
        <v>0</v>
      </c>
      <c r="M20" s="129">
        <f>ROUND(M13,1)</f>
        <v>0</v>
      </c>
    </row>
    <row r="21" spans="1:76" x14ac:dyDescent="0.3">
      <c r="A21"/>
    </row>
    <row r="22" spans="1:76" hidden="1" x14ac:dyDescent="0.3">
      <c r="A22" s="8"/>
      <c r="B22" s="8"/>
      <c r="C22" s="8"/>
      <c r="D22" s="8"/>
      <c r="E22" s="8"/>
      <c r="F22" s="8"/>
      <c r="G22" s="8"/>
      <c r="H22" s="8"/>
      <c r="I22" s="8"/>
      <c r="J22" s="8"/>
      <c r="K22" s="8"/>
      <c r="L22" s="8"/>
      <c r="M22" s="8"/>
      <c r="N22" s="8"/>
      <c r="O22" s="8"/>
      <c r="P22" s="8"/>
    </row>
  </sheetData>
  <mergeCells count="39">
    <mergeCell ref="D17:E17"/>
    <mergeCell ref="D18:E18"/>
    <mergeCell ref="D19:E19"/>
    <mergeCell ref="J20:K20"/>
    <mergeCell ref="A22:P22"/>
    <mergeCell ref="D12:E12"/>
    <mergeCell ref="D13:E13"/>
    <mergeCell ref="D14:E14"/>
    <mergeCell ref="D15:E15"/>
    <mergeCell ref="D16:E16"/>
    <mergeCell ref="K8:P9"/>
    <mergeCell ref="D10:E10"/>
    <mergeCell ref="J10:L10"/>
    <mergeCell ref="N10:O10"/>
    <mergeCell ref="D11:E11"/>
    <mergeCell ref="A8:C9"/>
    <mergeCell ref="D8:E9"/>
    <mergeCell ref="F8:G9"/>
    <mergeCell ref="H8:H9"/>
    <mergeCell ref="I8:J9"/>
    <mergeCell ref="K4:P5"/>
    <mergeCell ref="A6:C7"/>
    <mergeCell ref="D6:E7"/>
    <mergeCell ref="F6:G7"/>
    <mergeCell ref="H6:H7"/>
    <mergeCell ref="I6:J7"/>
    <mergeCell ref="K6:P7"/>
    <mergeCell ref="A4:C5"/>
    <mergeCell ref="D4:E5"/>
    <mergeCell ref="F4:G5"/>
    <mergeCell ref="H4:H5"/>
    <mergeCell ref="I4:J5"/>
    <mergeCell ref="A1:P1"/>
    <mergeCell ref="A2:C3"/>
    <mergeCell ref="D2:E3"/>
    <mergeCell ref="F2:G3"/>
    <mergeCell ref="H2:H3"/>
    <mergeCell ref="I2:J3"/>
    <mergeCell ref="K2:P3"/>
  </mergeCells>
  <pageMargins left="0.39374999999999999" right="0.39374999999999999" top="0.59097222222222201" bottom="0.59097222222222201" header="0.511811023622047" footer="0.511811023622047"/>
  <pageSetup fitToHeight="0" orientation="landscape"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932CC"/>
    <pageSetUpPr fitToPage="1"/>
  </sheetPr>
  <dimension ref="A1:H26"/>
  <sheetViews>
    <sheetView zoomScaleNormal="100" workbookViewId="0">
      <selection activeCell="D21" sqref="D21"/>
    </sheetView>
  </sheetViews>
  <sheetFormatPr defaultColWidth="12.109375" defaultRowHeight="14.4" x14ac:dyDescent="0.3"/>
  <cols>
    <col min="1" max="1" width="6.21875" style="22" customWidth="1"/>
    <col min="2" max="2" width="9.109375" style="22" customWidth="1"/>
    <col min="3" max="3" width="14.33203125" style="22" customWidth="1"/>
    <col min="4" max="4" width="42.88671875" style="65" customWidth="1"/>
    <col min="5" max="5" width="52.88671875" style="22" customWidth="1"/>
    <col min="6" max="6" width="24.109375" style="22" customWidth="1"/>
    <col min="7" max="7" width="15.6640625" style="22" customWidth="1"/>
    <col min="8" max="8" width="20" style="22" customWidth="1"/>
  </cols>
  <sheetData>
    <row r="1" spans="1:8" ht="39.75" customHeight="1" x14ac:dyDescent="0.25">
      <c r="A1" s="205" t="s">
        <v>933</v>
      </c>
      <c r="B1" s="205"/>
      <c r="C1" s="205"/>
      <c r="D1" s="205"/>
      <c r="E1" s="205"/>
      <c r="F1" s="205"/>
      <c r="G1" s="205"/>
      <c r="H1" s="205"/>
    </row>
    <row r="2" spans="1:8" ht="15" customHeight="1" x14ac:dyDescent="0.25">
      <c r="A2" s="13" t="s">
        <v>1</v>
      </c>
      <c r="B2" s="13"/>
      <c r="C2" s="12" t="str">
        <f>'Stavební rozpočet'!D2</f>
        <v>DEMOLICE PANELOVÉHO DOMU V HORNÍM PARKU</v>
      </c>
      <c r="D2" s="12"/>
      <c r="E2" s="11" t="s">
        <v>2</v>
      </c>
      <c r="F2" s="181" t="str">
        <f>'Stavební rozpočet'!J2</f>
        <v>MĚSTO ZNOJMO</v>
      </c>
      <c r="G2" s="181"/>
      <c r="H2" s="181"/>
    </row>
    <row r="3" spans="1:8" ht="13.2" x14ac:dyDescent="0.25">
      <c r="A3" s="13"/>
      <c r="B3" s="13"/>
      <c r="C3" s="12"/>
      <c r="D3" s="12"/>
      <c r="E3" s="11"/>
      <c r="F3" s="11"/>
      <c r="G3" s="181"/>
      <c r="H3" s="181"/>
    </row>
    <row r="4" spans="1:8" ht="15" customHeight="1" x14ac:dyDescent="0.25">
      <c r="A4" s="9" t="s">
        <v>4</v>
      </c>
      <c r="B4" s="9"/>
      <c r="C4" s="8" t="str">
        <f>'Stavební rozpočet'!D4</f>
        <v>Postupná demolice panelového domu</v>
      </c>
      <c r="D4" s="8"/>
      <c r="E4" s="8" t="s">
        <v>5</v>
      </c>
      <c r="F4" s="182" t="str">
        <f>'Stavební rozpočet'!J4</f>
        <v>Ing.  Roman Zvěřina, Dolní Česká 358/25, 669 02 Znojmo</v>
      </c>
      <c r="G4" s="182"/>
      <c r="H4" s="182"/>
    </row>
    <row r="5" spans="1:8" ht="13.2" x14ac:dyDescent="0.25">
      <c r="A5" s="9"/>
      <c r="B5" s="9"/>
      <c r="C5" s="8"/>
      <c r="D5" s="8"/>
      <c r="E5" s="8"/>
      <c r="F5" s="8"/>
      <c r="G5" s="182"/>
      <c r="H5" s="182"/>
    </row>
    <row r="6" spans="1:8" ht="15" customHeight="1" x14ac:dyDescent="0.25">
      <c r="A6" s="9" t="s">
        <v>7</v>
      </c>
      <c r="B6" s="9"/>
      <c r="C6" s="8" t="str">
        <f>'Stavební rozpočet'!D6</f>
        <v>k.ú.Znojmo-město parc.č.258/5</v>
      </c>
      <c r="D6" s="8"/>
      <c r="E6" s="8" t="s">
        <v>8</v>
      </c>
      <c r="F6" s="182" t="str">
        <f>'Stavební rozpočet'!J6</f>
        <v> </v>
      </c>
      <c r="G6" s="182"/>
      <c r="H6" s="182"/>
    </row>
    <row r="7" spans="1:8" ht="13.2" x14ac:dyDescent="0.25">
      <c r="A7" s="9"/>
      <c r="B7" s="9"/>
      <c r="C7" s="8"/>
      <c r="D7" s="8"/>
      <c r="E7" s="8"/>
      <c r="F7" s="8"/>
      <c r="G7" s="182"/>
      <c r="H7" s="182"/>
    </row>
    <row r="8" spans="1:8" ht="15" customHeight="1" x14ac:dyDescent="0.25">
      <c r="A8" s="9" t="s">
        <v>13</v>
      </c>
      <c r="B8" s="9"/>
      <c r="C8" s="8" t="str">
        <f>'Stavební rozpočet'!J8</f>
        <v>Bohuslav Hemala</v>
      </c>
      <c r="D8" s="8"/>
      <c r="E8" s="8" t="s">
        <v>95</v>
      </c>
      <c r="F8" s="182" t="str">
        <f>'Stavební rozpočet'!H8</f>
        <v>16.05.2025</v>
      </c>
      <c r="G8" s="182"/>
      <c r="H8" s="182"/>
    </row>
    <row r="9" spans="1:8" ht="13.2" x14ac:dyDescent="0.25">
      <c r="A9" s="9"/>
      <c r="B9" s="9"/>
      <c r="C9" s="8"/>
      <c r="D9" s="8"/>
      <c r="E9" s="8"/>
      <c r="F9" s="8"/>
      <c r="G9" s="182"/>
      <c r="H9" s="182"/>
    </row>
    <row r="10" spans="1:8" ht="15" customHeight="1" x14ac:dyDescent="0.25">
      <c r="A10" s="130" t="s">
        <v>122</v>
      </c>
      <c r="B10" s="131" t="s">
        <v>99</v>
      </c>
      <c r="C10" s="131" t="s">
        <v>123</v>
      </c>
      <c r="D10" s="206" t="s">
        <v>100</v>
      </c>
      <c r="E10" s="206"/>
      <c r="F10" s="131" t="s">
        <v>124</v>
      </c>
      <c r="G10" s="132" t="s">
        <v>125</v>
      </c>
      <c r="H10" s="133" t="s">
        <v>685</v>
      </c>
    </row>
    <row r="11" spans="1:8" ht="15" customHeight="1" x14ac:dyDescent="0.25">
      <c r="A11" s="89"/>
      <c r="B11" s="89" t="s">
        <v>686</v>
      </c>
      <c r="C11" s="89" t="s">
        <v>489</v>
      </c>
      <c r="D11" s="198" t="s">
        <v>561</v>
      </c>
      <c r="E11" s="198"/>
      <c r="F11" s="89"/>
      <c r="G11" s="92"/>
      <c r="H11" s="92"/>
    </row>
    <row r="12" spans="1:8" ht="15" customHeight="1" x14ac:dyDescent="0.25">
      <c r="A12" s="94" t="s">
        <v>152</v>
      </c>
      <c r="B12" s="94" t="s">
        <v>110</v>
      </c>
      <c r="C12" s="94" t="s">
        <v>563</v>
      </c>
      <c r="D12" s="199" t="s">
        <v>564</v>
      </c>
      <c r="E12" s="199"/>
      <c r="F12" s="94" t="s">
        <v>287</v>
      </c>
      <c r="G12" s="97">
        <v>16</v>
      </c>
      <c r="H12" s="97">
        <v>0</v>
      </c>
    </row>
    <row r="13" spans="1:8" x14ac:dyDescent="0.3">
      <c r="A13" s="134"/>
      <c r="B13" s="134"/>
      <c r="C13" s="134"/>
      <c r="D13" s="135" t="s">
        <v>223</v>
      </c>
      <c r="E13" s="207"/>
      <c r="F13" s="207"/>
      <c r="G13" s="137">
        <v>16</v>
      </c>
      <c r="H13" s="134"/>
    </row>
    <row r="14" spans="1:8" ht="24" customHeight="1" x14ac:dyDescent="0.25">
      <c r="A14" s="94" t="s">
        <v>162</v>
      </c>
      <c r="B14" s="94" t="s">
        <v>110</v>
      </c>
      <c r="C14" s="94" t="s">
        <v>563</v>
      </c>
      <c r="D14" s="199" t="s">
        <v>569</v>
      </c>
      <c r="E14" s="199"/>
      <c r="F14" s="94" t="s">
        <v>287</v>
      </c>
      <c r="G14" s="97">
        <v>35</v>
      </c>
      <c r="H14" s="97">
        <v>0</v>
      </c>
    </row>
    <row r="15" spans="1:8" x14ac:dyDescent="0.3">
      <c r="A15" s="134"/>
      <c r="B15" s="134"/>
      <c r="C15" s="134"/>
      <c r="D15" s="135" t="s">
        <v>301</v>
      </c>
      <c r="E15" s="207"/>
      <c r="F15" s="207"/>
      <c r="G15" s="137">
        <v>35</v>
      </c>
      <c r="H15" s="134"/>
    </row>
    <row r="16" spans="1:8" ht="15" customHeight="1" x14ac:dyDescent="0.25">
      <c r="A16" s="94" t="s">
        <v>167</v>
      </c>
      <c r="B16" s="94" t="s">
        <v>110</v>
      </c>
      <c r="C16" s="94" t="s">
        <v>563</v>
      </c>
      <c r="D16" s="199" t="s">
        <v>571</v>
      </c>
      <c r="E16" s="199"/>
      <c r="F16" s="94" t="s">
        <v>287</v>
      </c>
      <c r="G16" s="97">
        <v>30</v>
      </c>
      <c r="H16" s="97">
        <v>0</v>
      </c>
    </row>
    <row r="17" spans="1:8" x14ac:dyDescent="0.3">
      <c r="A17" s="134"/>
      <c r="B17" s="134"/>
      <c r="C17" s="134"/>
      <c r="D17" s="135" t="s">
        <v>290</v>
      </c>
      <c r="E17" s="207"/>
      <c r="F17" s="207"/>
      <c r="G17" s="137">
        <v>30</v>
      </c>
      <c r="H17" s="134"/>
    </row>
    <row r="18" spans="1:8" ht="15" customHeight="1" x14ac:dyDescent="0.25">
      <c r="A18" s="94" t="s">
        <v>173</v>
      </c>
      <c r="B18" s="94" t="s">
        <v>110</v>
      </c>
      <c r="C18" s="94" t="s">
        <v>563</v>
      </c>
      <c r="D18" s="199" t="s">
        <v>573</v>
      </c>
      <c r="E18" s="199"/>
      <c r="F18" s="94" t="s">
        <v>287</v>
      </c>
      <c r="G18" s="97">
        <v>40</v>
      </c>
      <c r="H18" s="97">
        <v>0</v>
      </c>
    </row>
    <row r="19" spans="1:8" x14ac:dyDescent="0.3">
      <c r="A19" s="134"/>
      <c r="B19" s="134"/>
      <c r="C19" s="134"/>
      <c r="D19" s="135" t="s">
        <v>317</v>
      </c>
      <c r="E19" s="207"/>
      <c r="F19" s="207"/>
      <c r="G19" s="137">
        <v>40</v>
      </c>
      <c r="H19" s="134"/>
    </row>
    <row r="20" spans="1:8" ht="24" customHeight="1" x14ac:dyDescent="0.25">
      <c r="A20" s="94" t="s">
        <v>179</v>
      </c>
      <c r="B20" s="94" t="s">
        <v>110</v>
      </c>
      <c r="C20" s="94" t="s">
        <v>575</v>
      </c>
      <c r="D20" s="199" t="s">
        <v>576</v>
      </c>
      <c r="E20" s="199"/>
      <c r="F20" s="94" t="s">
        <v>78</v>
      </c>
      <c r="G20" s="97"/>
      <c r="H20" s="97">
        <v>0</v>
      </c>
    </row>
    <row r="21" spans="1:8" x14ac:dyDescent="0.3">
      <c r="A21" s="134"/>
      <c r="B21" s="134"/>
      <c r="C21" s="134"/>
      <c r="D21" s="135"/>
      <c r="E21" s="207"/>
      <c r="F21" s="207"/>
      <c r="G21" s="137"/>
      <c r="H21" s="134"/>
    </row>
    <row r="22" spans="1:8" ht="15" customHeight="1" x14ac:dyDescent="0.25">
      <c r="A22" s="94" t="s">
        <v>182</v>
      </c>
      <c r="B22" s="94" t="s">
        <v>110</v>
      </c>
      <c r="C22" s="94" t="s">
        <v>578</v>
      </c>
      <c r="D22" s="199" t="s">
        <v>579</v>
      </c>
      <c r="E22" s="199"/>
      <c r="F22" s="94" t="s">
        <v>78</v>
      </c>
      <c r="G22" s="97"/>
      <c r="H22" s="97">
        <v>0</v>
      </c>
    </row>
    <row r="23" spans="1:8" x14ac:dyDescent="0.3">
      <c r="A23" s="134"/>
      <c r="B23" s="134"/>
      <c r="C23" s="134"/>
      <c r="D23" s="135"/>
      <c r="E23" s="207"/>
      <c r="F23" s="207"/>
      <c r="G23" s="137"/>
      <c r="H23" s="134"/>
    </row>
    <row r="25" spans="1:8" x14ac:dyDescent="0.3">
      <c r="A25"/>
    </row>
    <row r="26" spans="1:8" hidden="1" x14ac:dyDescent="0.3">
      <c r="A26" s="8"/>
      <c r="B26" s="8"/>
      <c r="C26" s="8"/>
      <c r="D26" s="8"/>
      <c r="E26" s="8"/>
      <c r="F26" s="8"/>
      <c r="G26" s="8"/>
    </row>
  </sheetData>
  <mergeCells count="32">
    <mergeCell ref="E21:F21"/>
    <mergeCell ref="D22:E22"/>
    <mergeCell ref="E23:F23"/>
    <mergeCell ref="A26:G26"/>
    <mergeCell ref="D16:E16"/>
    <mergeCell ref="E17:F17"/>
    <mergeCell ref="D18:E18"/>
    <mergeCell ref="E19:F19"/>
    <mergeCell ref="D20:E20"/>
    <mergeCell ref="D11:E11"/>
    <mergeCell ref="D12:E12"/>
    <mergeCell ref="E13:F13"/>
    <mergeCell ref="D14:E14"/>
    <mergeCell ref="E15:F15"/>
    <mergeCell ref="A8:B9"/>
    <mergeCell ref="C8:D9"/>
    <mergeCell ref="E8:E9"/>
    <mergeCell ref="F8:H9"/>
    <mergeCell ref="D10:E10"/>
    <mergeCell ref="A4:B5"/>
    <mergeCell ref="C4:D5"/>
    <mergeCell ref="E4:E5"/>
    <mergeCell ref="F4:H5"/>
    <mergeCell ref="A6:B7"/>
    <mergeCell ref="C6:D7"/>
    <mergeCell ref="E6:E7"/>
    <mergeCell ref="F6:H7"/>
    <mergeCell ref="A1:H1"/>
    <mergeCell ref="A2:B3"/>
    <mergeCell ref="C2:D3"/>
    <mergeCell ref="E2:E3"/>
    <mergeCell ref="F2:H3"/>
  </mergeCells>
  <pageMargins left="0.39374999999999999" right="0.39374999999999999" top="0.59097222222222201" bottom="0.59097222222222201" header="0.511811023622047" footer="0.511811023622047"/>
  <pageSetup fitToHeight="0" orientation="landscape" horizontalDpi="300"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D2B48C"/>
    <pageSetUpPr fitToPage="1"/>
  </sheetPr>
  <dimension ref="A1:I35"/>
  <sheetViews>
    <sheetView zoomScaleNormal="100" workbookViewId="0"/>
  </sheetViews>
  <sheetFormatPr defaultColWidth="12.109375" defaultRowHeight="14.4" x14ac:dyDescent="0.3"/>
  <cols>
    <col min="1" max="1" width="15.88671875" style="22" customWidth="1"/>
    <col min="2" max="2" width="12.88671875" style="22" customWidth="1"/>
    <col min="3" max="3" width="27.109375" style="22" customWidth="1"/>
    <col min="4" max="4" width="18.21875" style="22" customWidth="1"/>
    <col min="5" max="5" width="14" style="22" customWidth="1"/>
    <col min="6" max="6" width="27.109375" style="22" customWidth="1"/>
    <col min="7" max="7" width="17.21875" style="22" customWidth="1"/>
    <col min="8" max="8" width="12.88671875" style="22" customWidth="1"/>
    <col min="9" max="9" width="27.109375" style="22" customWidth="1"/>
  </cols>
  <sheetData>
    <row r="1" spans="1:9" ht="39.75" customHeight="1" x14ac:dyDescent="0.25">
      <c r="A1" s="172" t="s">
        <v>934</v>
      </c>
      <c r="B1" s="172"/>
      <c r="C1" s="172"/>
      <c r="D1" s="172"/>
      <c r="E1" s="172"/>
      <c r="F1" s="172"/>
      <c r="G1" s="172"/>
      <c r="H1" s="172"/>
      <c r="I1" s="172"/>
    </row>
    <row r="2" spans="1:9" ht="15" customHeight="1" x14ac:dyDescent="0.25">
      <c r="A2" s="13" t="s">
        <v>1</v>
      </c>
      <c r="B2" s="13"/>
      <c r="C2" s="12" t="str">
        <f>'Stavební rozpočet'!D2</f>
        <v>DEMOLICE PANELOVÉHO DOMU V HORNÍM PARKU</v>
      </c>
      <c r="D2" s="12"/>
      <c r="E2" s="11" t="s">
        <v>2</v>
      </c>
      <c r="F2" s="11" t="str">
        <f>'Stavební rozpočet'!J2</f>
        <v>MĚSTO ZNOJMO</v>
      </c>
      <c r="G2" s="11"/>
      <c r="H2" s="11" t="s">
        <v>3</v>
      </c>
      <c r="I2" s="10"/>
    </row>
    <row r="3" spans="1:9" ht="15" customHeight="1" x14ac:dyDescent="0.25">
      <c r="A3" s="13"/>
      <c r="B3" s="13"/>
      <c r="C3" s="12"/>
      <c r="D3" s="12"/>
      <c r="E3" s="11"/>
      <c r="F3" s="11"/>
      <c r="G3" s="11"/>
      <c r="H3" s="11"/>
      <c r="I3" s="10"/>
    </row>
    <row r="4" spans="1:9" ht="15" customHeight="1" x14ac:dyDescent="0.25">
      <c r="A4" s="9" t="s">
        <v>4</v>
      </c>
      <c r="B4" s="9"/>
      <c r="C4" s="8" t="str">
        <f>'Stavební rozpočet'!D4</f>
        <v>Postupná demolice panelového domu</v>
      </c>
      <c r="D4" s="8"/>
      <c r="E4" s="8" t="s">
        <v>5</v>
      </c>
      <c r="F4" s="8" t="str">
        <f>'Stavební rozpočet'!J4</f>
        <v>Ing.  Roman Zvěřina, Dolní Česká 358/25, 669 02 Znojmo</v>
      </c>
      <c r="G4" s="8"/>
      <c r="H4" s="8" t="s">
        <v>3</v>
      </c>
      <c r="I4" s="7" t="s">
        <v>6</v>
      </c>
    </row>
    <row r="5" spans="1:9" ht="15" customHeight="1" x14ac:dyDescent="0.25">
      <c r="A5" s="9"/>
      <c r="B5" s="9"/>
      <c r="C5" s="8"/>
      <c r="D5" s="8"/>
      <c r="E5" s="8"/>
      <c r="F5" s="8"/>
      <c r="G5" s="8"/>
      <c r="H5" s="8"/>
      <c r="I5" s="7"/>
    </row>
    <row r="6" spans="1:9" ht="15" customHeight="1" x14ac:dyDescent="0.25">
      <c r="A6" s="9" t="s">
        <v>7</v>
      </c>
      <c r="B6" s="9"/>
      <c r="C6" s="8" t="str">
        <f>'Stavební rozpočet'!D6</f>
        <v>k.ú.Znojmo-město parc.č.258/5</v>
      </c>
      <c r="D6" s="8"/>
      <c r="E6" s="8" t="s">
        <v>8</v>
      </c>
      <c r="F6" s="8" t="str">
        <f>'Stavební rozpočet'!J6</f>
        <v> </v>
      </c>
      <c r="G6" s="8"/>
      <c r="H6" s="8" t="s">
        <v>3</v>
      </c>
      <c r="I6" s="7"/>
    </row>
    <row r="7" spans="1:9" ht="15" customHeight="1" x14ac:dyDescent="0.25">
      <c r="A7" s="9"/>
      <c r="B7" s="9"/>
      <c r="C7" s="8"/>
      <c r="D7" s="8"/>
      <c r="E7" s="8"/>
      <c r="F7" s="8"/>
      <c r="G7" s="8"/>
      <c r="H7" s="8"/>
      <c r="I7" s="7"/>
    </row>
    <row r="8" spans="1:9" ht="15" customHeight="1" x14ac:dyDescent="0.25">
      <c r="A8" s="9" t="s">
        <v>9</v>
      </c>
      <c r="B8" s="9"/>
      <c r="C8" s="8" t="str">
        <f>'Stavební rozpočet'!H4</f>
        <v xml:space="preserve"> </v>
      </c>
      <c r="D8" s="8"/>
      <c r="E8" s="8" t="s">
        <v>10</v>
      </c>
      <c r="F8" s="8" t="str">
        <f>'Stavební rozpočet'!H6</f>
        <v xml:space="preserve"> </v>
      </c>
      <c r="G8" s="8"/>
      <c r="H8" s="6" t="s">
        <v>11</v>
      </c>
      <c r="I8" s="5">
        <v>32</v>
      </c>
    </row>
    <row r="9" spans="1:9" ht="13.2" x14ac:dyDescent="0.25">
      <c r="A9" s="9"/>
      <c r="B9" s="9"/>
      <c r="C9" s="8"/>
      <c r="D9" s="8"/>
      <c r="E9" s="8"/>
      <c r="F9" s="8"/>
      <c r="G9" s="8"/>
      <c r="H9" s="6"/>
      <c r="I9" s="5"/>
    </row>
    <row r="10" spans="1:9" ht="15" customHeight="1" x14ac:dyDescent="0.25">
      <c r="A10" s="4" t="s">
        <v>12</v>
      </c>
      <c r="B10" s="4"/>
      <c r="C10" s="3" t="str">
        <f>'Stavební rozpočet'!D8</f>
        <v>80331</v>
      </c>
      <c r="D10" s="3"/>
      <c r="E10" s="3" t="s">
        <v>13</v>
      </c>
      <c r="F10" s="3" t="str">
        <f>'Stavební rozpočet'!J8</f>
        <v>Bohuslav Hemala</v>
      </c>
      <c r="G10" s="3"/>
      <c r="H10" s="2" t="s">
        <v>14</v>
      </c>
      <c r="I10" s="1" t="str">
        <f>'Stavební rozpočet'!H8</f>
        <v>16.05.2025</v>
      </c>
    </row>
    <row r="11" spans="1:9" ht="13.2" x14ac:dyDescent="0.25">
      <c r="A11" s="4"/>
      <c r="B11" s="4"/>
      <c r="C11" s="3"/>
      <c r="D11" s="3"/>
      <c r="E11" s="3"/>
      <c r="F11" s="3"/>
      <c r="G11" s="3"/>
      <c r="H11" s="2"/>
      <c r="I11" s="1"/>
    </row>
    <row r="12" spans="1:9" ht="22.8" x14ac:dyDescent="0.25">
      <c r="A12" s="151" t="s">
        <v>31</v>
      </c>
      <c r="B12" s="151"/>
      <c r="C12" s="151"/>
      <c r="D12" s="151"/>
      <c r="E12" s="151"/>
      <c r="F12" s="151"/>
      <c r="G12" s="151"/>
      <c r="H12" s="151"/>
      <c r="I12" s="151"/>
    </row>
    <row r="13" spans="1:9" ht="26.25" customHeight="1" x14ac:dyDescent="0.25">
      <c r="A13" s="24" t="s">
        <v>32</v>
      </c>
      <c r="B13" s="152" t="s">
        <v>33</v>
      </c>
      <c r="C13" s="152"/>
      <c r="D13" s="25" t="s">
        <v>34</v>
      </c>
      <c r="E13" s="152" t="s">
        <v>35</v>
      </c>
      <c r="F13" s="152"/>
      <c r="G13" s="25" t="s">
        <v>915</v>
      </c>
      <c r="H13" s="152" t="s">
        <v>81</v>
      </c>
      <c r="I13" s="152"/>
    </row>
    <row r="14" spans="1:9" ht="15.6" x14ac:dyDescent="0.25">
      <c r="A14" s="26" t="s">
        <v>36</v>
      </c>
      <c r="B14" s="27" t="s">
        <v>37</v>
      </c>
      <c r="C14" s="28">
        <f>SUM('Stavební rozpočet (ZS)'!AB12:AB430)</f>
        <v>0</v>
      </c>
      <c r="D14" s="153" t="s">
        <v>38</v>
      </c>
      <c r="E14" s="153"/>
      <c r="F14" s="28">
        <f>'VORN objektu (ZS)'!I15</f>
        <v>0</v>
      </c>
      <c r="G14" s="153" t="s">
        <v>82</v>
      </c>
      <c r="H14" s="153"/>
      <c r="I14" s="28">
        <f>'VORN objektu (ZS)'!I21</f>
        <v>0</v>
      </c>
    </row>
    <row r="15" spans="1:9" ht="15.6" x14ac:dyDescent="0.25">
      <c r="A15" s="29"/>
      <c r="B15" s="27" t="s">
        <v>39</v>
      </c>
      <c r="C15" s="28">
        <f>SUM('Stavební rozpočet (ZS)'!AC12:AC430)</f>
        <v>0</v>
      </c>
      <c r="D15" s="153" t="s">
        <v>40</v>
      </c>
      <c r="E15" s="153"/>
      <c r="F15" s="28">
        <f>'VORN objektu (ZS)'!I16</f>
        <v>0</v>
      </c>
      <c r="G15" s="153" t="s">
        <v>83</v>
      </c>
      <c r="H15" s="153"/>
      <c r="I15" s="28">
        <f>'VORN objektu (ZS)'!I22</f>
        <v>0</v>
      </c>
    </row>
    <row r="16" spans="1:9" ht="15.6" x14ac:dyDescent="0.25">
      <c r="A16" s="26" t="s">
        <v>41</v>
      </c>
      <c r="B16" s="27" t="s">
        <v>37</v>
      </c>
      <c r="C16" s="28">
        <f>SUM('Stavební rozpočet (ZS)'!AD12:AD430)</f>
        <v>0</v>
      </c>
      <c r="D16" s="153" t="s">
        <v>42</v>
      </c>
      <c r="E16" s="153"/>
      <c r="F16" s="28">
        <f>'VORN objektu (ZS)'!I17</f>
        <v>0</v>
      </c>
      <c r="G16" s="153" t="s">
        <v>84</v>
      </c>
      <c r="H16" s="153"/>
      <c r="I16" s="28">
        <f>'VORN objektu (ZS)'!I23</f>
        <v>0</v>
      </c>
    </row>
    <row r="17" spans="1:9" ht="15.6" x14ac:dyDescent="0.25">
      <c r="A17" s="29"/>
      <c r="B17" s="27" t="s">
        <v>39</v>
      </c>
      <c r="C17" s="28">
        <f>SUM('Stavební rozpočet (ZS)'!AE12:AE430)</f>
        <v>0</v>
      </c>
      <c r="D17" s="153"/>
      <c r="E17" s="153"/>
      <c r="F17" s="30"/>
      <c r="G17" s="153" t="s">
        <v>85</v>
      </c>
      <c r="H17" s="153"/>
      <c r="I17" s="28">
        <f>'VORN objektu (ZS)'!I24</f>
        <v>0</v>
      </c>
    </row>
    <row r="18" spans="1:9" ht="15.6" x14ac:dyDescent="0.25">
      <c r="A18" s="26" t="s">
        <v>43</v>
      </c>
      <c r="B18" s="27" t="s">
        <v>37</v>
      </c>
      <c r="C18" s="28">
        <f>SUM('Stavební rozpočet (ZS)'!AF12:AF430)</f>
        <v>0</v>
      </c>
      <c r="D18" s="153"/>
      <c r="E18" s="153"/>
      <c r="F18" s="30"/>
      <c r="G18" s="153" t="s">
        <v>86</v>
      </c>
      <c r="H18" s="153"/>
      <c r="I18" s="28">
        <f>'VORN objektu (ZS)'!I25</f>
        <v>0</v>
      </c>
    </row>
    <row r="19" spans="1:9" ht="15.6" x14ac:dyDescent="0.25">
      <c r="A19" s="29"/>
      <c r="B19" s="27" t="s">
        <v>39</v>
      </c>
      <c r="C19" s="28">
        <f>SUM('Stavební rozpočet (ZS)'!AG12:AG430)</f>
        <v>0</v>
      </c>
      <c r="D19" s="153"/>
      <c r="E19" s="153"/>
      <c r="F19" s="30"/>
      <c r="G19" s="153" t="s">
        <v>87</v>
      </c>
      <c r="H19" s="153"/>
      <c r="I19" s="28">
        <f>'VORN objektu (ZS)'!I26</f>
        <v>0</v>
      </c>
    </row>
    <row r="20" spans="1:9" ht="15.6" x14ac:dyDescent="0.25">
      <c r="A20" s="154" t="s">
        <v>44</v>
      </c>
      <c r="B20" s="154"/>
      <c r="C20" s="28">
        <f>SUM('Stavební rozpočet (ZS)'!AH12:AH430)</f>
        <v>0</v>
      </c>
      <c r="D20" s="153"/>
      <c r="E20" s="153"/>
      <c r="F20" s="30"/>
      <c r="G20" s="153"/>
      <c r="H20" s="153"/>
      <c r="I20" s="30"/>
    </row>
    <row r="21" spans="1:9" ht="15.6" x14ac:dyDescent="0.25">
      <c r="A21" s="155" t="s">
        <v>45</v>
      </c>
      <c r="B21" s="155"/>
      <c r="C21" s="31">
        <f>SUM('Stavební rozpočet (ZS)'!Z12:Z430)</f>
        <v>0</v>
      </c>
      <c r="D21" s="156"/>
      <c r="E21" s="156"/>
      <c r="F21" s="32"/>
      <c r="G21" s="156"/>
      <c r="H21" s="156"/>
      <c r="I21" s="32"/>
    </row>
    <row r="22" spans="1:9" ht="16.5" customHeight="1" x14ac:dyDescent="0.25">
      <c r="A22" s="157" t="s">
        <v>46</v>
      </c>
      <c r="B22" s="157"/>
      <c r="C22" s="33">
        <f>ROUND(SUM(C14:C21),1)</f>
        <v>0</v>
      </c>
      <c r="D22" s="158" t="s">
        <v>47</v>
      </c>
      <c r="E22" s="158"/>
      <c r="F22" s="33">
        <f>SUM(F14:F21)</f>
        <v>0</v>
      </c>
      <c r="G22" s="158" t="s">
        <v>916</v>
      </c>
      <c r="H22" s="158"/>
      <c r="I22" s="33">
        <f>SUM(I14:I21)</f>
        <v>0</v>
      </c>
    </row>
    <row r="23" spans="1:9" ht="15.6" x14ac:dyDescent="0.3">
      <c r="G23" s="154" t="s">
        <v>917</v>
      </c>
      <c r="H23" s="154"/>
      <c r="I23" s="28">
        <f>'VORN objektu (ZS)'!I36</f>
        <v>0</v>
      </c>
    </row>
    <row r="25" spans="1:9" ht="15.6" x14ac:dyDescent="0.3">
      <c r="A25" s="160" t="s">
        <v>49</v>
      </c>
      <c r="B25" s="160"/>
      <c r="C25" s="34">
        <f>ROUND(SUM('Stavební rozpočet (ZS)'!AJ12:AJ430),1)</f>
        <v>0</v>
      </c>
      <c r="D25" s="35"/>
      <c r="E25" s="35"/>
      <c r="F25" s="35"/>
      <c r="G25" s="35"/>
      <c r="H25" s="35"/>
      <c r="I25" s="35"/>
    </row>
    <row r="26" spans="1:9" ht="15.6" x14ac:dyDescent="0.25">
      <c r="A26" s="161" t="s">
        <v>50</v>
      </c>
      <c r="B26" s="161"/>
      <c r="C26" s="36">
        <f>ROUND(SUM('Stavební rozpočet (ZS)'!AK12:AK430),1)</f>
        <v>0</v>
      </c>
      <c r="D26" s="162" t="s">
        <v>51</v>
      </c>
      <c r="E26" s="162"/>
      <c r="F26" s="34">
        <f>ROUND(C26*(12/100),2)</f>
        <v>0</v>
      </c>
      <c r="G26" s="162" t="s">
        <v>52</v>
      </c>
      <c r="H26" s="162"/>
      <c r="I26" s="34">
        <f>ROUND(SUM(C25:C27),1)</f>
        <v>0</v>
      </c>
    </row>
    <row r="27" spans="1:9" ht="15.6" x14ac:dyDescent="0.25">
      <c r="A27" s="161" t="s">
        <v>53</v>
      </c>
      <c r="B27" s="161"/>
      <c r="C27" s="36">
        <f>ROUND(SUM('Stavební rozpočet (ZS)'!AL12:AL430)+(F22+I22+F23+I23+I24),1)</f>
        <v>0</v>
      </c>
      <c r="D27" s="163" t="s">
        <v>54</v>
      </c>
      <c r="E27" s="163"/>
      <c r="F27" s="36">
        <f>ROUND(C27*(21/100),2)</f>
        <v>0</v>
      </c>
      <c r="G27" s="163" t="s">
        <v>55</v>
      </c>
      <c r="H27" s="163"/>
      <c r="I27" s="36">
        <f>ROUND(SUM(F26:F27)+I26,1)</f>
        <v>0</v>
      </c>
    </row>
    <row r="29" spans="1:9" ht="15" x14ac:dyDescent="0.25">
      <c r="A29" s="164" t="s">
        <v>56</v>
      </c>
      <c r="B29" s="164"/>
      <c r="C29" s="164"/>
      <c r="D29" s="165" t="s">
        <v>57</v>
      </c>
      <c r="E29" s="165"/>
      <c r="F29" s="165"/>
      <c r="G29" s="165" t="s">
        <v>58</v>
      </c>
      <c r="H29" s="165"/>
      <c r="I29" s="165"/>
    </row>
    <row r="30" spans="1:9" ht="15" x14ac:dyDescent="0.25">
      <c r="A30" s="166"/>
      <c r="B30" s="166"/>
      <c r="C30" s="166"/>
      <c r="D30" s="167"/>
      <c r="E30" s="167"/>
      <c r="F30" s="167"/>
      <c r="G30" s="167"/>
      <c r="H30" s="167"/>
      <c r="I30" s="167"/>
    </row>
    <row r="31" spans="1:9" ht="15" x14ac:dyDescent="0.25">
      <c r="A31" s="166"/>
      <c r="B31" s="166"/>
      <c r="C31" s="166"/>
      <c r="D31" s="167"/>
      <c r="E31" s="167"/>
      <c r="F31" s="167"/>
      <c r="G31" s="167"/>
      <c r="H31" s="167"/>
      <c r="I31" s="167"/>
    </row>
    <row r="32" spans="1:9" ht="15" x14ac:dyDescent="0.25">
      <c r="A32" s="166"/>
      <c r="B32" s="166"/>
      <c r="C32" s="166"/>
      <c r="D32" s="167"/>
      <c r="E32" s="167"/>
      <c r="F32" s="167"/>
      <c r="G32" s="167"/>
      <c r="H32" s="167"/>
      <c r="I32" s="167"/>
    </row>
    <row r="33" spans="1:9" ht="15" x14ac:dyDescent="0.25">
      <c r="A33" s="168" t="s">
        <v>59</v>
      </c>
      <c r="B33" s="168"/>
      <c r="C33" s="168"/>
      <c r="D33" s="169" t="s">
        <v>59</v>
      </c>
      <c r="E33" s="169"/>
      <c r="F33" s="169"/>
      <c r="G33" s="169" t="s">
        <v>59</v>
      </c>
      <c r="H33" s="169"/>
      <c r="I33" s="169"/>
    </row>
    <row r="34" spans="1:9" x14ac:dyDescent="0.3">
      <c r="A34"/>
    </row>
    <row r="35" spans="1:9" ht="12.75" hidden="1" customHeight="1" x14ac:dyDescent="0.25">
      <c r="A35" s="8"/>
      <c r="B35" s="8"/>
      <c r="C35" s="8"/>
      <c r="D35" s="8"/>
      <c r="E35" s="8"/>
      <c r="F35" s="8"/>
      <c r="G35" s="8"/>
      <c r="H35" s="8"/>
      <c r="I35" s="8"/>
    </row>
  </sheetData>
  <mergeCells count="80">
    <mergeCell ref="A35:I35"/>
    <mergeCell ref="A32:C32"/>
    <mergeCell ref="D32:F32"/>
    <mergeCell ref="G32:I32"/>
    <mergeCell ref="A33:C33"/>
    <mergeCell ref="D33:F33"/>
    <mergeCell ref="G33:I33"/>
    <mergeCell ref="A30:C30"/>
    <mergeCell ref="D30:F30"/>
    <mergeCell ref="G30:I30"/>
    <mergeCell ref="A31:C31"/>
    <mergeCell ref="D31:F31"/>
    <mergeCell ref="G31:I31"/>
    <mergeCell ref="A27:B27"/>
    <mergeCell ref="D27:E27"/>
    <mergeCell ref="G27:H27"/>
    <mergeCell ref="A29:C29"/>
    <mergeCell ref="D29:F29"/>
    <mergeCell ref="G29:I29"/>
    <mergeCell ref="G23:H23"/>
    <mergeCell ref="A25:B25"/>
    <mergeCell ref="A26:B26"/>
    <mergeCell ref="D26:E26"/>
    <mergeCell ref="G26:H26"/>
    <mergeCell ref="A21:B21"/>
    <mergeCell ref="D21:E21"/>
    <mergeCell ref="G21:H21"/>
    <mergeCell ref="A22:B22"/>
    <mergeCell ref="D22:E22"/>
    <mergeCell ref="G22:H22"/>
    <mergeCell ref="D18:E18"/>
    <mergeCell ref="G18:H18"/>
    <mergeCell ref="D19:E19"/>
    <mergeCell ref="G19:H19"/>
    <mergeCell ref="A20:B20"/>
    <mergeCell ref="D20:E20"/>
    <mergeCell ref="G20:H20"/>
    <mergeCell ref="D15:E15"/>
    <mergeCell ref="G15:H15"/>
    <mergeCell ref="D16:E16"/>
    <mergeCell ref="G16:H16"/>
    <mergeCell ref="D17:E17"/>
    <mergeCell ref="G17:H17"/>
    <mergeCell ref="A12:I12"/>
    <mergeCell ref="B13:C13"/>
    <mergeCell ref="E13:F13"/>
    <mergeCell ref="H13:I13"/>
    <mergeCell ref="D14:E14"/>
    <mergeCell ref="G14:H14"/>
    <mergeCell ref="I8:I9"/>
    <mergeCell ref="A10:B11"/>
    <mergeCell ref="C10:D11"/>
    <mergeCell ref="E10:E11"/>
    <mergeCell ref="F10:G11"/>
    <mergeCell ref="H10:H11"/>
    <mergeCell ref="I10:I11"/>
    <mergeCell ref="A8:B9"/>
    <mergeCell ref="C8:D9"/>
    <mergeCell ref="E8:E9"/>
    <mergeCell ref="F8:G9"/>
    <mergeCell ref="H8:H9"/>
    <mergeCell ref="I4:I5"/>
    <mergeCell ref="A6:B7"/>
    <mergeCell ref="C6:D7"/>
    <mergeCell ref="E6:E7"/>
    <mergeCell ref="F6:G7"/>
    <mergeCell ref="H6:H7"/>
    <mergeCell ref="I6:I7"/>
    <mergeCell ref="A4:B5"/>
    <mergeCell ref="C4:D5"/>
    <mergeCell ref="E4:E5"/>
    <mergeCell ref="F4:G5"/>
    <mergeCell ref="H4:H5"/>
    <mergeCell ref="A1:I1"/>
    <mergeCell ref="A2:B3"/>
    <mergeCell ref="C2:D3"/>
    <mergeCell ref="E2:E3"/>
    <mergeCell ref="F2:G3"/>
    <mergeCell ref="H2:H3"/>
    <mergeCell ref="I2:I3"/>
  </mergeCells>
  <pageMargins left="0.39374999999999999" right="0.39374999999999999" top="0.59097222222222201" bottom="0.59097222222222201" header="0.511811023622047" footer="0.511811023622047"/>
  <pageSetup orientation="landscape"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I36"/>
  <sheetViews>
    <sheetView zoomScaleNormal="100" workbookViewId="0">
      <selection activeCell="A36" sqref="A36"/>
    </sheetView>
  </sheetViews>
  <sheetFormatPr defaultColWidth="12.109375" defaultRowHeight="14.4" x14ac:dyDescent="0.3"/>
  <cols>
    <col min="1" max="1" width="9.109375" style="22" customWidth="1"/>
    <col min="2" max="2" width="12.88671875" style="22" customWidth="1"/>
    <col min="3" max="3" width="22.88671875" style="22" customWidth="1"/>
    <col min="4" max="4" width="10" style="22" customWidth="1"/>
    <col min="5" max="5" width="14" style="22" customWidth="1"/>
    <col min="6" max="6" width="22.88671875" style="22" customWidth="1"/>
    <col min="7" max="7" width="9.109375" style="22" customWidth="1"/>
    <col min="8" max="8" width="17.109375" style="22" customWidth="1"/>
    <col min="9" max="9" width="22.88671875" style="22" customWidth="1"/>
  </cols>
  <sheetData>
    <row r="1" spans="1:9" ht="54.75" customHeight="1" x14ac:dyDescent="0.25">
      <c r="A1" s="172" t="s">
        <v>935</v>
      </c>
      <c r="B1" s="172"/>
      <c r="C1" s="172"/>
      <c r="D1" s="172"/>
      <c r="E1" s="172"/>
      <c r="F1" s="172"/>
      <c r="G1" s="172"/>
      <c r="H1" s="172"/>
      <c r="I1" s="172"/>
    </row>
    <row r="2" spans="1:9" ht="15" customHeight="1" x14ac:dyDescent="0.25">
      <c r="A2" s="13" t="s">
        <v>1</v>
      </c>
      <c r="B2" s="13"/>
      <c r="C2" s="12" t="str">
        <f>'Stavební rozpočet'!D2</f>
        <v>DEMOLICE PANELOVÉHO DOMU V HORNÍM PARKU</v>
      </c>
      <c r="D2" s="12"/>
      <c r="E2" s="11" t="s">
        <v>2</v>
      </c>
      <c r="F2" s="11" t="str">
        <f>'Stavební rozpočet'!J2</f>
        <v>MĚSTO ZNOJMO</v>
      </c>
      <c r="G2" s="11"/>
      <c r="H2" s="11" t="s">
        <v>3</v>
      </c>
      <c r="I2" s="10"/>
    </row>
    <row r="3" spans="1:9" ht="15" customHeight="1" x14ac:dyDescent="0.25">
      <c r="A3" s="13"/>
      <c r="B3" s="13"/>
      <c r="C3" s="12"/>
      <c r="D3" s="12"/>
      <c r="E3" s="11"/>
      <c r="F3" s="11"/>
      <c r="G3" s="11"/>
      <c r="H3" s="11"/>
      <c r="I3" s="10"/>
    </row>
    <row r="4" spans="1:9" ht="15" customHeight="1" x14ac:dyDescent="0.25">
      <c r="A4" s="9" t="s">
        <v>4</v>
      </c>
      <c r="B4" s="9"/>
      <c r="C4" s="8" t="str">
        <f>'Stavební rozpočet'!D4</f>
        <v>Postupná demolice panelového domu</v>
      </c>
      <c r="D4" s="8"/>
      <c r="E4" s="8" t="s">
        <v>5</v>
      </c>
      <c r="F4" s="8" t="str">
        <f>'Stavební rozpočet'!J4</f>
        <v>Ing.  Roman Zvěřina, Dolní Česká 358/25, 669 02 Znojmo</v>
      </c>
      <c r="G4" s="8"/>
      <c r="H4" s="8" t="s">
        <v>3</v>
      </c>
      <c r="I4" s="7" t="s">
        <v>6</v>
      </c>
    </row>
    <row r="5" spans="1:9" ht="15" customHeight="1" x14ac:dyDescent="0.25">
      <c r="A5" s="9"/>
      <c r="B5" s="9"/>
      <c r="C5" s="8"/>
      <c r="D5" s="8"/>
      <c r="E5" s="8"/>
      <c r="F5" s="8"/>
      <c r="G5" s="8"/>
      <c r="H5" s="8"/>
      <c r="I5" s="7"/>
    </row>
    <row r="6" spans="1:9" ht="15" customHeight="1" x14ac:dyDescent="0.25">
      <c r="A6" s="9" t="s">
        <v>7</v>
      </c>
      <c r="B6" s="9"/>
      <c r="C6" s="8" t="str">
        <f>'Stavební rozpočet'!D6</f>
        <v>k.ú.Znojmo-město parc.č.258/5</v>
      </c>
      <c r="D6" s="8"/>
      <c r="E6" s="8" t="s">
        <v>8</v>
      </c>
      <c r="F6" s="8" t="str">
        <f>'Stavební rozpočet'!J6</f>
        <v> </v>
      </c>
      <c r="G6" s="8"/>
      <c r="H6" s="8" t="s">
        <v>3</v>
      </c>
      <c r="I6" s="7"/>
    </row>
    <row r="7" spans="1:9" ht="15" customHeight="1" x14ac:dyDescent="0.25">
      <c r="A7" s="9"/>
      <c r="B7" s="9"/>
      <c r="C7" s="8"/>
      <c r="D7" s="8"/>
      <c r="E7" s="8"/>
      <c r="F7" s="8"/>
      <c r="G7" s="8"/>
      <c r="H7" s="8"/>
      <c r="I7" s="7"/>
    </row>
    <row r="8" spans="1:9" ht="15" customHeight="1" x14ac:dyDescent="0.25">
      <c r="A8" s="9" t="s">
        <v>9</v>
      </c>
      <c r="B8" s="9"/>
      <c r="C8" s="8" t="str">
        <f>'Stavební rozpočet'!H4</f>
        <v xml:space="preserve"> </v>
      </c>
      <c r="D8" s="8"/>
      <c r="E8" s="8" t="s">
        <v>10</v>
      </c>
      <c r="F8" s="8" t="str">
        <f>'Stavební rozpočet'!H6</f>
        <v xml:space="preserve"> </v>
      </c>
      <c r="G8" s="8"/>
      <c r="H8" s="6" t="s">
        <v>11</v>
      </c>
      <c r="I8" s="5">
        <v>32</v>
      </c>
    </row>
    <row r="9" spans="1:9" ht="13.2" x14ac:dyDescent="0.25">
      <c r="A9" s="9"/>
      <c r="B9" s="9"/>
      <c r="C9" s="8"/>
      <c r="D9" s="8"/>
      <c r="E9" s="8"/>
      <c r="F9" s="8"/>
      <c r="G9" s="8"/>
      <c r="H9" s="6"/>
      <c r="I9" s="5"/>
    </row>
    <row r="10" spans="1:9" ht="15" customHeight="1" x14ac:dyDescent="0.25">
      <c r="A10" s="4" t="s">
        <v>12</v>
      </c>
      <c r="B10" s="4"/>
      <c r="C10" s="3" t="str">
        <f>'Stavební rozpočet'!D8</f>
        <v>80331</v>
      </c>
      <c r="D10" s="3"/>
      <c r="E10" s="3" t="s">
        <v>13</v>
      </c>
      <c r="F10" s="3" t="str">
        <f>'Stavební rozpočet'!J8</f>
        <v>Bohuslav Hemala</v>
      </c>
      <c r="G10" s="3"/>
      <c r="H10" s="2" t="s">
        <v>14</v>
      </c>
      <c r="I10" s="1" t="str">
        <f>'Stavební rozpočet'!H8</f>
        <v>16.05.2025</v>
      </c>
    </row>
    <row r="11" spans="1:9" ht="13.2" x14ac:dyDescent="0.25">
      <c r="A11" s="4"/>
      <c r="B11" s="4"/>
      <c r="C11" s="3"/>
      <c r="D11" s="3"/>
      <c r="E11" s="3"/>
      <c r="F11" s="3"/>
      <c r="G11" s="3"/>
      <c r="H11" s="2"/>
      <c r="I11" s="1"/>
    </row>
    <row r="13" spans="1:9" ht="15.6" x14ac:dyDescent="0.3">
      <c r="A13" s="173" t="s">
        <v>75</v>
      </c>
      <c r="B13" s="173"/>
      <c r="C13" s="173"/>
      <c r="D13" s="173"/>
      <c r="E13" s="173"/>
    </row>
    <row r="14" spans="1:9" ht="13.2" x14ac:dyDescent="0.25">
      <c r="A14" s="174" t="s">
        <v>76</v>
      </c>
      <c r="B14" s="174"/>
      <c r="C14" s="174"/>
      <c r="D14" s="174"/>
      <c r="E14" s="174"/>
      <c r="F14" s="39" t="s">
        <v>77</v>
      </c>
      <c r="G14" s="39" t="s">
        <v>78</v>
      </c>
      <c r="H14" s="39" t="s">
        <v>79</v>
      </c>
      <c r="I14" s="39" t="s">
        <v>77</v>
      </c>
    </row>
    <row r="15" spans="1:9" ht="13.2" x14ac:dyDescent="0.25">
      <c r="A15" s="175" t="s">
        <v>38</v>
      </c>
      <c r="B15" s="175"/>
      <c r="C15" s="175"/>
      <c r="D15" s="175"/>
      <c r="E15" s="175"/>
      <c r="F15" s="40">
        <v>0</v>
      </c>
      <c r="G15" s="41"/>
      <c r="H15" s="41"/>
      <c r="I15" s="40">
        <f>F15</f>
        <v>0</v>
      </c>
    </row>
    <row r="16" spans="1:9" ht="13.2" x14ac:dyDescent="0.25">
      <c r="A16" s="175" t="s">
        <v>40</v>
      </c>
      <c r="B16" s="175"/>
      <c r="C16" s="175"/>
      <c r="D16" s="175"/>
      <c r="E16" s="175"/>
      <c r="F16" s="40">
        <v>0</v>
      </c>
      <c r="G16" s="41"/>
      <c r="H16" s="41"/>
      <c r="I16" s="40">
        <f>F16</f>
        <v>0</v>
      </c>
    </row>
    <row r="17" spans="1:9" ht="13.2" x14ac:dyDescent="0.25">
      <c r="A17" s="176" t="s">
        <v>42</v>
      </c>
      <c r="B17" s="176"/>
      <c r="C17" s="176"/>
      <c r="D17" s="176"/>
      <c r="E17" s="176"/>
      <c r="F17" s="42">
        <v>0</v>
      </c>
      <c r="G17" s="17"/>
      <c r="H17" s="17"/>
      <c r="I17" s="42">
        <f>F17</f>
        <v>0</v>
      </c>
    </row>
    <row r="18" spans="1:9" ht="13.2" x14ac:dyDescent="0.25">
      <c r="A18" s="177" t="s">
        <v>80</v>
      </c>
      <c r="B18" s="177"/>
      <c r="C18" s="177"/>
      <c r="D18" s="177"/>
      <c r="E18" s="177"/>
      <c r="F18" s="43"/>
      <c r="G18" s="44"/>
      <c r="H18" s="44"/>
      <c r="I18" s="45">
        <f>SUM(I15:I17)</f>
        <v>0</v>
      </c>
    </row>
    <row r="20" spans="1:9" ht="13.2" x14ac:dyDescent="0.25">
      <c r="A20" s="174" t="s">
        <v>81</v>
      </c>
      <c r="B20" s="174"/>
      <c r="C20" s="174"/>
      <c r="D20" s="174"/>
      <c r="E20" s="174"/>
      <c r="F20" s="39" t="s">
        <v>77</v>
      </c>
      <c r="G20" s="39" t="s">
        <v>78</v>
      </c>
      <c r="H20" s="39" t="s">
        <v>79</v>
      </c>
      <c r="I20" s="39" t="s">
        <v>77</v>
      </c>
    </row>
    <row r="21" spans="1:9" ht="13.2" x14ac:dyDescent="0.25">
      <c r="A21" s="175" t="s">
        <v>82</v>
      </c>
      <c r="B21" s="175"/>
      <c r="C21" s="175"/>
      <c r="D21" s="175"/>
      <c r="E21" s="175"/>
      <c r="F21" s="40">
        <v>0</v>
      </c>
      <c r="G21" s="41"/>
      <c r="H21" s="41"/>
      <c r="I21" s="40">
        <f t="shared" ref="I21:I26" si="0">F21</f>
        <v>0</v>
      </c>
    </row>
    <row r="22" spans="1:9" ht="13.2" x14ac:dyDescent="0.25">
      <c r="A22" s="175" t="s">
        <v>83</v>
      </c>
      <c r="B22" s="175"/>
      <c r="C22" s="175"/>
      <c r="D22" s="175"/>
      <c r="E22" s="175"/>
      <c r="F22" s="40">
        <v>0</v>
      </c>
      <c r="G22" s="41"/>
      <c r="H22" s="41"/>
      <c r="I22" s="40">
        <f t="shared" si="0"/>
        <v>0</v>
      </c>
    </row>
    <row r="23" spans="1:9" ht="13.2" x14ac:dyDescent="0.25">
      <c r="A23" s="175" t="s">
        <v>84</v>
      </c>
      <c r="B23" s="175"/>
      <c r="C23" s="175"/>
      <c r="D23" s="175"/>
      <c r="E23" s="175"/>
      <c r="F23" s="40">
        <v>0</v>
      </c>
      <c r="G23" s="41"/>
      <c r="H23" s="41"/>
      <c r="I23" s="40">
        <f t="shared" si="0"/>
        <v>0</v>
      </c>
    </row>
    <row r="24" spans="1:9" ht="13.2" x14ac:dyDescent="0.25">
      <c r="A24" s="175" t="s">
        <v>85</v>
      </c>
      <c r="B24" s="175"/>
      <c r="C24" s="175"/>
      <c r="D24" s="175"/>
      <c r="E24" s="175"/>
      <c r="F24" s="40">
        <v>0</v>
      </c>
      <c r="G24" s="41"/>
      <c r="H24" s="41"/>
      <c r="I24" s="40">
        <f t="shared" si="0"/>
        <v>0</v>
      </c>
    </row>
    <row r="25" spans="1:9" ht="13.2" x14ac:dyDescent="0.25">
      <c r="A25" s="175" t="s">
        <v>86</v>
      </c>
      <c r="B25" s="175"/>
      <c r="C25" s="175"/>
      <c r="D25" s="175"/>
      <c r="E25" s="175"/>
      <c r="F25" s="40">
        <v>0</v>
      </c>
      <c r="G25" s="41"/>
      <c r="H25" s="41"/>
      <c r="I25" s="40">
        <f t="shared" si="0"/>
        <v>0</v>
      </c>
    </row>
    <row r="26" spans="1:9" ht="13.2" x14ac:dyDescent="0.25">
      <c r="A26" s="176" t="s">
        <v>87</v>
      </c>
      <c r="B26" s="176"/>
      <c r="C26" s="176"/>
      <c r="D26" s="176"/>
      <c r="E26" s="176"/>
      <c r="F26" s="42">
        <v>0</v>
      </c>
      <c r="G26" s="17"/>
      <c r="H26" s="17"/>
      <c r="I26" s="42">
        <f t="shared" si="0"/>
        <v>0</v>
      </c>
    </row>
    <row r="27" spans="1:9" ht="13.2" x14ac:dyDescent="0.25">
      <c r="A27" s="177" t="s">
        <v>88</v>
      </c>
      <c r="B27" s="177"/>
      <c r="C27" s="177"/>
      <c r="D27" s="177"/>
      <c r="E27" s="177"/>
      <c r="F27" s="43"/>
      <c r="G27" s="44"/>
      <c r="H27" s="44"/>
      <c r="I27" s="45">
        <f>SUM(I21:I26)</f>
        <v>0</v>
      </c>
    </row>
    <row r="29" spans="1:9" ht="15.6" x14ac:dyDescent="0.25">
      <c r="A29" s="178" t="s">
        <v>89</v>
      </c>
      <c r="B29" s="178"/>
      <c r="C29" s="178"/>
      <c r="D29" s="178"/>
      <c r="E29" s="178"/>
      <c r="F29" s="179">
        <f>I18+I27</f>
        <v>0</v>
      </c>
      <c r="G29" s="179"/>
      <c r="H29" s="179"/>
      <c r="I29" s="179"/>
    </row>
    <row r="33" spans="1:9" ht="15.6" x14ac:dyDescent="0.3">
      <c r="A33" s="173" t="s">
        <v>90</v>
      </c>
      <c r="B33" s="173"/>
      <c r="C33" s="173"/>
      <c r="D33" s="173"/>
      <c r="E33" s="173"/>
    </row>
    <row r="34" spans="1:9" ht="13.2" x14ac:dyDescent="0.25">
      <c r="A34" s="174" t="s">
        <v>91</v>
      </c>
      <c r="B34" s="174"/>
      <c r="C34" s="174"/>
      <c r="D34" s="174"/>
      <c r="E34" s="174"/>
      <c r="F34" s="39" t="s">
        <v>77</v>
      </c>
      <c r="G34" s="39" t="s">
        <v>78</v>
      </c>
      <c r="H34" s="39" t="s">
        <v>79</v>
      </c>
      <c r="I34" s="39" t="s">
        <v>77</v>
      </c>
    </row>
    <row r="35" spans="1:9" ht="13.2" x14ac:dyDescent="0.25">
      <c r="A35" s="176"/>
      <c r="B35" s="176"/>
      <c r="C35" s="176"/>
      <c r="D35" s="176"/>
      <c r="E35" s="176"/>
      <c r="F35" s="42">
        <v>0</v>
      </c>
      <c r="G35" s="17"/>
      <c r="H35" s="17"/>
      <c r="I35" s="42">
        <f>F35</f>
        <v>0</v>
      </c>
    </row>
    <row r="36" spans="1:9" ht="13.2" x14ac:dyDescent="0.25">
      <c r="A36" s="177" t="s">
        <v>92</v>
      </c>
      <c r="B36" s="177"/>
      <c r="C36" s="177"/>
      <c r="D36" s="177"/>
      <c r="E36" s="177"/>
      <c r="F36" s="43"/>
      <c r="G36" s="44"/>
      <c r="H36" s="44"/>
      <c r="I36" s="45">
        <f>SUM(I35)</f>
        <v>0</v>
      </c>
    </row>
  </sheetData>
  <mergeCells count="51">
    <mergeCell ref="F29:I29"/>
    <mergeCell ref="A33:E33"/>
    <mergeCell ref="A34:E34"/>
    <mergeCell ref="A35:E35"/>
    <mergeCell ref="A36:E36"/>
    <mergeCell ref="A24:E24"/>
    <mergeCell ref="A25:E25"/>
    <mergeCell ref="A26:E26"/>
    <mergeCell ref="A27:E27"/>
    <mergeCell ref="A29:E29"/>
    <mergeCell ref="A18:E18"/>
    <mergeCell ref="A20:E20"/>
    <mergeCell ref="A21:E21"/>
    <mergeCell ref="A22:E22"/>
    <mergeCell ref="A23:E23"/>
    <mergeCell ref="A13:E13"/>
    <mergeCell ref="A14:E14"/>
    <mergeCell ref="A15:E15"/>
    <mergeCell ref="A16:E16"/>
    <mergeCell ref="A17:E17"/>
    <mergeCell ref="I8:I9"/>
    <mergeCell ref="A10:B11"/>
    <mergeCell ref="C10:D11"/>
    <mergeCell ref="E10:E11"/>
    <mergeCell ref="F10:G11"/>
    <mergeCell ref="H10:H11"/>
    <mergeCell ref="I10:I11"/>
    <mergeCell ref="A8:B9"/>
    <mergeCell ref="C8:D9"/>
    <mergeCell ref="E8:E9"/>
    <mergeCell ref="F8:G9"/>
    <mergeCell ref="H8:H9"/>
    <mergeCell ref="I4:I5"/>
    <mergeCell ref="A6:B7"/>
    <mergeCell ref="C6:D7"/>
    <mergeCell ref="E6:E7"/>
    <mergeCell ref="F6:G7"/>
    <mergeCell ref="H6:H7"/>
    <mergeCell ref="I6:I7"/>
    <mergeCell ref="A4:B5"/>
    <mergeCell ref="C4:D5"/>
    <mergeCell ref="E4:E5"/>
    <mergeCell ref="F4:G5"/>
    <mergeCell ref="H4:H5"/>
    <mergeCell ref="A1:I1"/>
    <mergeCell ref="A2:B3"/>
    <mergeCell ref="C2:D3"/>
    <mergeCell ref="E2:E3"/>
    <mergeCell ref="F2:G3"/>
    <mergeCell ref="H2:H3"/>
    <mergeCell ref="I2:I3"/>
  </mergeCells>
  <pageMargins left="0.39374999999999999" right="0.39374999999999999" top="0.59097222222222201" bottom="0.59097222222222201" header="0.511811023622047" footer="0.511811023622047"/>
  <pageSetup fitToHeight="0" orientation="landscape"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D2B48C"/>
    <pageSetUpPr fitToPage="1"/>
  </sheetPr>
  <dimension ref="A1:BZ53"/>
  <sheetViews>
    <sheetView zoomScaleNormal="100" workbookViewId="0">
      <pane ySplit="11" topLeftCell="A12" activePane="bottomLeft" state="frozen"/>
      <selection pane="bottomLeft"/>
    </sheetView>
  </sheetViews>
  <sheetFormatPr defaultColWidth="12.109375" defaultRowHeight="14.4" x14ac:dyDescent="0.3"/>
  <cols>
    <col min="1" max="1" width="4" style="22" customWidth="1"/>
    <col min="2" max="2" width="7" style="22" customWidth="1"/>
    <col min="3" max="3" width="15.88671875" style="22" customWidth="1"/>
    <col min="4" max="4" width="42.88671875" style="65" customWidth="1"/>
    <col min="5" max="5" width="11" style="22" customWidth="1"/>
    <col min="6" max="6" width="6.109375" style="22" customWidth="1"/>
    <col min="7" max="7" width="9.109375" style="66" customWidth="1"/>
    <col min="8" max="8" width="10.44140625" style="22" customWidth="1"/>
    <col min="9" max="9" width="11.109375" style="22" customWidth="1"/>
    <col min="10" max="10" width="12.44140625" style="22" customWidth="1"/>
    <col min="11" max="11" width="14" style="22" customWidth="1"/>
    <col min="12" max="13" width="15.6640625" style="22" customWidth="1"/>
    <col min="14" max="14" width="7.21875" style="22" customWidth="1"/>
    <col min="15" max="15" width="8" style="22" customWidth="1"/>
    <col min="16" max="16" width="11.33203125" style="22" customWidth="1"/>
    <col min="25" max="75" width="12.109375" style="22" hidden="1"/>
    <col min="76" max="76" width="78.5546875" style="22" hidden="1" customWidth="1"/>
    <col min="77" max="78" width="12.109375" style="22" hidden="1"/>
  </cols>
  <sheetData>
    <row r="1" spans="1:76" ht="39.75" customHeight="1" x14ac:dyDescent="0.3">
      <c r="A1" s="205" t="s">
        <v>936</v>
      </c>
      <c r="B1" s="205"/>
      <c r="C1" s="205"/>
      <c r="D1" s="205"/>
      <c r="E1" s="205"/>
      <c r="F1" s="205"/>
      <c r="G1" s="205"/>
      <c r="H1" s="205"/>
      <c r="I1" s="205"/>
      <c r="J1" s="205"/>
      <c r="K1" s="205"/>
      <c r="L1" s="205"/>
      <c r="M1" s="205"/>
      <c r="N1" s="205"/>
      <c r="O1" s="205"/>
      <c r="P1" s="205"/>
      <c r="AS1" s="68">
        <f>SUM(AJ1:AJ2)</f>
        <v>0</v>
      </c>
      <c r="AT1" s="68">
        <f>SUM(AK1:AK2)</f>
        <v>0</v>
      </c>
      <c r="AU1" s="68">
        <f>SUM(AL1:AL2)</f>
        <v>0</v>
      </c>
    </row>
    <row r="2" spans="1:76" ht="15" customHeight="1" x14ac:dyDescent="0.3">
      <c r="A2" s="13" t="s">
        <v>1</v>
      </c>
      <c r="B2" s="13"/>
      <c r="C2" s="13"/>
      <c r="D2" s="12" t="str">
        <f>'Stavební rozpočet'!D2</f>
        <v>DEMOLICE PANELOVÉHO DOMU V HORNÍM PARKU</v>
      </c>
      <c r="E2" s="12"/>
      <c r="F2" s="193" t="s">
        <v>94</v>
      </c>
      <c r="G2" s="193"/>
      <c r="H2" s="11" t="str">
        <f>'Stavební rozpočet'!H2</f>
        <v xml:space="preserve"> </v>
      </c>
      <c r="I2" s="11" t="s">
        <v>2</v>
      </c>
      <c r="J2" s="11"/>
      <c r="K2" s="181" t="str">
        <f>'Stavební rozpočet'!J2</f>
        <v>MĚSTO ZNOJMO</v>
      </c>
      <c r="L2" s="181"/>
      <c r="M2" s="181"/>
      <c r="N2" s="181"/>
      <c r="O2" s="181"/>
      <c r="P2" s="181"/>
    </row>
    <row r="3" spans="1:76" x14ac:dyDescent="0.3">
      <c r="A3" s="13"/>
      <c r="B3" s="13"/>
      <c r="C3" s="13"/>
      <c r="D3" s="12"/>
      <c r="E3" s="12"/>
      <c r="F3" s="193"/>
      <c r="G3" s="193"/>
      <c r="H3" s="11"/>
      <c r="I3" s="11"/>
      <c r="J3" s="11"/>
      <c r="K3" s="181"/>
      <c r="L3" s="181"/>
      <c r="M3" s="181"/>
      <c r="N3" s="181"/>
      <c r="O3" s="181"/>
      <c r="P3" s="181"/>
    </row>
    <row r="4" spans="1:76" ht="15" customHeight="1" x14ac:dyDescent="0.3">
      <c r="A4" s="9" t="s">
        <v>4</v>
      </c>
      <c r="B4" s="9"/>
      <c r="C4" s="9"/>
      <c r="D4" s="8" t="str">
        <f>'Stavební rozpočet'!D4</f>
        <v>Postupná demolice panelového domu</v>
      </c>
      <c r="E4" s="8"/>
      <c r="F4" s="6" t="s">
        <v>9</v>
      </c>
      <c r="G4" s="6"/>
      <c r="H4" s="8" t="str">
        <f>'Stavební rozpočet'!H4</f>
        <v xml:space="preserve"> </v>
      </c>
      <c r="I4" s="8" t="s">
        <v>5</v>
      </c>
      <c r="J4" s="8"/>
      <c r="K4" s="182" t="str">
        <f>'Stavební rozpočet'!J4</f>
        <v>Ing.  Roman Zvěřina, Dolní Česká 358/25, 669 02 Znojmo</v>
      </c>
      <c r="L4" s="182"/>
      <c r="M4" s="182"/>
      <c r="N4" s="182"/>
      <c r="O4" s="182"/>
      <c r="P4" s="182"/>
    </row>
    <row r="5" spans="1:76" x14ac:dyDescent="0.3">
      <c r="A5" s="9"/>
      <c r="B5" s="9"/>
      <c r="C5" s="9"/>
      <c r="D5" s="8"/>
      <c r="E5" s="8"/>
      <c r="F5" s="6"/>
      <c r="G5" s="6"/>
      <c r="H5" s="8"/>
      <c r="I5" s="8"/>
      <c r="J5" s="8"/>
      <c r="K5" s="182"/>
      <c r="L5" s="182"/>
      <c r="M5" s="182"/>
      <c r="N5" s="182"/>
      <c r="O5" s="182"/>
      <c r="P5" s="182"/>
    </row>
    <row r="6" spans="1:76" ht="15" customHeight="1" x14ac:dyDescent="0.3">
      <c r="A6" s="9" t="s">
        <v>7</v>
      </c>
      <c r="B6" s="9"/>
      <c r="C6" s="9"/>
      <c r="D6" s="8" t="str">
        <f>'Stavební rozpočet'!D6</f>
        <v>k.ú.Znojmo-město parc.č.258/5</v>
      </c>
      <c r="E6" s="8"/>
      <c r="F6" s="6" t="s">
        <v>10</v>
      </c>
      <c r="G6" s="6"/>
      <c r="H6" s="8" t="str">
        <f>'Stavební rozpočet'!H6</f>
        <v xml:space="preserve"> </v>
      </c>
      <c r="I6" s="8" t="s">
        <v>8</v>
      </c>
      <c r="J6" s="8"/>
      <c r="K6" s="182" t="str">
        <f>'Stavební rozpočet'!J6</f>
        <v> </v>
      </c>
      <c r="L6" s="182"/>
      <c r="M6" s="182"/>
      <c r="N6" s="182"/>
      <c r="O6" s="182"/>
      <c r="P6" s="182"/>
    </row>
    <row r="7" spans="1:76" x14ac:dyDescent="0.3">
      <c r="A7" s="9"/>
      <c r="B7" s="9"/>
      <c r="C7" s="9"/>
      <c r="D7" s="8"/>
      <c r="E7" s="8"/>
      <c r="F7" s="6"/>
      <c r="G7" s="6"/>
      <c r="H7" s="8"/>
      <c r="I7" s="8"/>
      <c r="J7" s="8"/>
      <c r="K7" s="182"/>
      <c r="L7" s="182"/>
      <c r="M7" s="182"/>
      <c r="N7" s="182"/>
      <c r="O7" s="182"/>
      <c r="P7" s="182"/>
    </row>
    <row r="8" spans="1:76" ht="15" customHeight="1" x14ac:dyDescent="0.3">
      <c r="A8" s="9" t="s">
        <v>12</v>
      </c>
      <c r="B8" s="9"/>
      <c r="C8" s="9"/>
      <c r="D8" s="8" t="str">
        <f>'Stavební rozpočet'!D8</f>
        <v>80331</v>
      </c>
      <c r="E8" s="8"/>
      <c r="F8" s="6" t="s">
        <v>95</v>
      </c>
      <c r="G8" s="6"/>
      <c r="H8" s="8" t="str">
        <f>'Stavební rozpočet'!H8</f>
        <v>16.05.2025</v>
      </c>
      <c r="I8" s="8" t="s">
        <v>13</v>
      </c>
      <c r="J8" s="8"/>
      <c r="K8" s="182" t="str">
        <f>'Stavební rozpočet'!J8</f>
        <v>Bohuslav Hemala</v>
      </c>
      <c r="L8" s="182"/>
      <c r="M8" s="182"/>
      <c r="N8" s="182"/>
      <c r="O8" s="182"/>
      <c r="P8" s="182"/>
    </row>
    <row r="9" spans="1:76" x14ac:dyDescent="0.3">
      <c r="A9" s="9"/>
      <c r="B9" s="9"/>
      <c r="C9" s="9"/>
      <c r="D9" s="8"/>
      <c r="E9" s="8"/>
      <c r="F9" s="6"/>
      <c r="G9" s="6"/>
      <c r="H9" s="8"/>
      <c r="I9" s="8"/>
      <c r="J9" s="8"/>
      <c r="K9" s="182"/>
      <c r="L9" s="182"/>
      <c r="M9" s="182"/>
      <c r="N9" s="182"/>
      <c r="O9" s="182"/>
      <c r="P9" s="182"/>
    </row>
    <row r="10" spans="1:76" ht="15" customHeight="1" x14ac:dyDescent="0.3">
      <c r="A10" s="69" t="s">
        <v>122</v>
      </c>
      <c r="B10" s="70" t="s">
        <v>99</v>
      </c>
      <c r="C10" s="70" t="s">
        <v>123</v>
      </c>
      <c r="D10" s="194" t="s">
        <v>100</v>
      </c>
      <c r="E10" s="194"/>
      <c r="F10" s="70" t="s">
        <v>124</v>
      </c>
      <c r="G10" s="71" t="s">
        <v>125</v>
      </c>
      <c r="H10" s="72" t="s">
        <v>126</v>
      </c>
      <c r="I10" s="73" t="s">
        <v>920</v>
      </c>
      <c r="J10" s="184" t="s">
        <v>97</v>
      </c>
      <c r="K10" s="184"/>
      <c r="L10" s="184"/>
      <c r="M10" s="47" t="s">
        <v>97</v>
      </c>
      <c r="N10" s="195" t="s">
        <v>98</v>
      </c>
      <c r="O10" s="195"/>
      <c r="P10" s="74" t="s">
        <v>128</v>
      </c>
      <c r="BK10" s="75" t="s">
        <v>129</v>
      </c>
      <c r="BL10" s="76" t="s">
        <v>130</v>
      </c>
      <c r="BW10" s="76" t="s">
        <v>131</v>
      </c>
    </row>
    <row r="11" spans="1:76" ht="15" customHeight="1" x14ac:dyDescent="0.3">
      <c r="A11" s="77" t="s">
        <v>96</v>
      </c>
      <c r="B11" s="78" t="s">
        <v>96</v>
      </c>
      <c r="C11" s="78" t="s">
        <v>96</v>
      </c>
      <c r="D11" s="196" t="s">
        <v>132</v>
      </c>
      <c r="E11" s="196"/>
      <c r="F11" s="78" t="s">
        <v>96</v>
      </c>
      <c r="G11" s="79" t="s">
        <v>96</v>
      </c>
      <c r="H11" s="80" t="s">
        <v>133</v>
      </c>
      <c r="I11" s="81" t="s">
        <v>96</v>
      </c>
      <c r="J11" s="49" t="s">
        <v>101</v>
      </c>
      <c r="K11" s="50" t="s">
        <v>39</v>
      </c>
      <c r="L11" s="51" t="s">
        <v>102</v>
      </c>
      <c r="M11" s="51" t="s">
        <v>135</v>
      </c>
      <c r="N11" s="50" t="s">
        <v>136</v>
      </c>
      <c r="O11" s="80" t="s">
        <v>102</v>
      </c>
      <c r="P11" s="49" t="s">
        <v>137</v>
      </c>
      <c r="Z11" s="75" t="s">
        <v>138</v>
      </c>
      <c r="AA11" s="75" t="s">
        <v>139</v>
      </c>
      <c r="AB11" s="75" t="s">
        <v>140</v>
      </c>
      <c r="AC11" s="75" t="s">
        <v>141</v>
      </c>
      <c r="AD11" s="75" t="s">
        <v>142</v>
      </c>
      <c r="AE11" s="75" t="s">
        <v>143</v>
      </c>
      <c r="AF11" s="75" t="s">
        <v>144</v>
      </c>
      <c r="AG11" s="75" t="s">
        <v>145</v>
      </c>
      <c r="AH11" s="75" t="s">
        <v>146</v>
      </c>
      <c r="BH11" s="75" t="s">
        <v>147</v>
      </c>
      <c r="BI11" s="75" t="s">
        <v>148</v>
      </c>
      <c r="BJ11" s="75" t="s">
        <v>149</v>
      </c>
    </row>
    <row r="12" spans="1:76" ht="19.8" customHeight="1" x14ac:dyDescent="0.3">
      <c r="A12" s="62"/>
      <c r="B12" s="124" t="s">
        <v>112</v>
      </c>
      <c r="C12" s="124"/>
      <c r="D12" s="204" t="s">
        <v>82</v>
      </c>
      <c r="E12" s="204"/>
      <c r="F12" s="62" t="s">
        <v>96</v>
      </c>
      <c r="G12" s="125" t="s">
        <v>96</v>
      </c>
      <c r="H12" s="62" t="s">
        <v>96</v>
      </c>
      <c r="I12" s="62" t="s">
        <v>96</v>
      </c>
      <c r="J12" s="126">
        <f>J13+J15+J19+J33+J43+J48</f>
        <v>0</v>
      </c>
      <c r="K12" s="126">
        <f>K13+K15+K19+K33+K43+K48</f>
        <v>0</v>
      </c>
      <c r="L12" s="126">
        <f>L13+L15+L19+L33+L43+L48</f>
        <v>0</v>
      </c>
      <c r="M12" s="126">
        <f>M13+M15+M19+M33+M43+M48</f>
        <v>0</v>
      </c>
      <c r="N12" s="127"/>
      <c r="O12" s="126">
        <f>O13+O15+O19+O33+O43+O48</f>
        <v>605.15637500000003</v>
      </c>
      <c r="P12" s="127"/>
    </row>
    <row r="13" spans="1:76" ht="15" customHeight="1" x14ac:dyDescent="0.3">
      <c r="A13" s="88"/>
      <c r="B13" s="89" t="s">
        <v>112</v>
      </c>
      <c r="C13" s="89" t="s">
        <v>234</v>
      </c>
      <c r="D13" s="198" t="s">
        <v>523</v>
      </c>
      <c r="E13" s="198"/>
      <c r="F13" s="88" t="s">
        <v>96</v>
      </c>
      <c r="G13" s="90" t="s">
        <v>96</v>
      </c>
      <c r="H13" s="88" t="s">
        <v>96</v>
      </c>
      <c r="I13" s="88" t="s">
        <v>96</v>
      </c>
      <c r="J13" s="91">
        <f>SUM(J14)</f>
        <v>0</v>
      </c>
      <c r="K13" s="91">
        <f>SUM(K14)</f>
        <v>0</v>
      </c>
      <c r="L13" s="91">
        <f>SUM(L14)</f>
        <v>0</v>
      </c>
      <c r="M13" s="91">
        <f>SUM(M14)</f>
        <v>0</v>
      </c>
      <c r="N13" s="92"/>
      <c r="O13" s="91">
        <f>SUM(O14)</f>
        <v>0</v>
      </c>
      <c r="P13" s="92"/>
      <c r="AI13" s="75" t="s">
        <v>112</v>
      </c>
      <c r="AS13" s="68">
        <f>SUM(AJ14)</f>
        <v>0</v>
      </c>
      <c r="AT13" s="68">
        <f>SUM(AK14)</f>
        <v>0</v>
      </c>
      <c r="AU13" s="68">
        <f>SUM(AL14)</f>
        <v>0</v>
      </c>
    </row>
    <row r="14" spans="1:76" ht="24" customHeight="1" x14ac:dyDescent="0.3">
      <c r="A14" s="94" t="s">
        <v>152</v>
      </c>
      <c r="B14" s="94" t="s">
        <v>112</v>
      </c>
      <c r="C14" s="94" t="s">
        <v>581</v>
      </c>
      <c r="D14" s="199" t="s">
        <v>582</v>
      </c>
      <c r="E14" s="199"/>
      <c r="F14" s="94" t="s">
        <v>155</v>
      </c>
      <c r="G14" s="96">
        <f>'Stavební rozpočet'!G179</f>
        <v>460</v>
      </c>
      <c r="H14" s="97">
        <f>'Stavební rozpočet'!H179</f>
        <v>0</v>
      </c>
      <c r="I14" s="98">
        <v>21</v>
      </c>
      <c r="J14" s="97">
        <f>ROUND(G14*AO14,2)</f>
        <v>0</v>
      </c>
      <c r="K14" s="97">
        <f>ROUND(G14*AP14,2)</f>
        <v>0</v>
      </c>
      <c r="L14" s="97">
        <f>ROUND(G14*H14,2)</f>
        <v>0</v>
      </c>
      <c r="M14" s="97">
        <f>L14*(1+BW14/100)</f>
        <v>0</v>
      </c>
      <c r="N14" s="97">
        <f>'Stavební rozpočet'!N179</f>
        <v>0</v>
      </c>
      <c r="O14" s="97">
        <f>G14*N14</f>
        <v>0</v>
      </c>
      <c r="P14" s="99" t="s">
        <v>156</v>
      </c>
      <c r="Z14" s="55">
        <f>ROUND(IF(AQ14="5",BJ14,0),2)</f>
        <v>0</v>
      </c>
      <c r="AB14" s="55">
        <f>ROUND(IF(AQ14="1",BH14,0),2)</f>
        <v>0</v>
      </c>
      <c r="AC14" s="55">
        <f>ROUND(IF(AQ14="1",BI14,0),2)</f>
        <v>0</v>
      </c>
      <c r="AD14" s="55">
        <f>ROUND(IF(AQ14="7",BH14,0),2)</f>
        <v>0</v>
      </c>
      <c r="AE14" s="55">
        <f>ROUND(IF(AQ14="7",BI14,0),2)</f>
        <v>0</v>
      </c>
      <c r="AF14" s="55">
        <f>ROUND(IF(AQ14="2",BH14,0),2)</f>
        <v>0</v>
      </c>
      <c r="AG14" s="55">
        <f>ROUND(IF(AQ14="2",BI14,0),2)</f>
        <v>0</v>
      </c>
      <c r="AH14" s="55">
        <f>ROUND(IF(AQ14="0",BJ14,0),2)</f>
        <v>0</v>
      </c>
      <c r="AI14" s="75" t="s">
        <v>112</v>
      </c>
      <c r="AJ14" s="55">
        <f>IF(AN14=0,L14,0)</f>
        <v>0</v>
      </c>
      <c r="AK14" s="55">
        <f>IF(AN14=12,L14,0)</f>
        <v>0</v>
      </c>
      <c r="AL14" s="55">
        <f>IF(AN14=21,L14,0)</f>
        <v>0</v>
      </c>
      <c r="AN14" s="55">
        <v>21</v>
      </c>
      <c r="AO14" s="55">
        <f>H14*0</f>
        <v>0</v>
      </c>
      <c r="AP14" s="55">
        <f>H14*(1-0)</f>
        <v>0</v>
      </c>
      <c r="AQ14" s="54" t="s">
        <v>152</v>
      </c>
      <c r="AV14" s="55">
        <f>ROUND(AW14+AX14,2)</f>
        <v>0</v>
      </c>
      <c r="AW14" s="55">
        <f>ROUND(G14*AO14,2)</f>
        <v>0</v>
      </c>
      <c r="AX14" s="55">
        <f>ROUND(G14*AP14,2)</f>
        <v>0</v>
      </c>
      <c r="AY14" s="54" t="s">
        <v>527</v>
      </c>
      <c r="AZ14" s="54" t="s">
        <v>583</v>
      </c>
      <c r="BA14" s="75" t="s">
        <v>584</v>
      </c>
      <c r="BC14" s="55">
        <f>AW14+AX14</f>
        <v>0</v>
      </c>
      <c r="BD14" s="55">
        <f>H14/(100-BE14)*100</f>
        <v>0</v>
      </c>
      <c r="BE14" s="55">
        <v>0</v>
      </c>
      <c r="BF14" s="55">
        <f>O14</f>
        <v>0</v>
      </c>
      <c r="BH14" s="55">
        <f>G14*AO14</f>
        <v>0</v>
      </c>
      <c r="BI14" s="55">
        <f>G14*AP14</f>
        <v>0</v>
      </c>
      <c r="BJ14" s="55">
        <f>G14*H14</f>
        <v>0</v>
      </c>
      <c r="BK14" s="54" t="s">
        <v>161</v>
      </c>
      <c r="BL14" s="55">
        <v>18</v>
      </c>
      <c r="BW14" s="55">
        <f>I14</f>
        <v>21</v>
      </c>
      <c r="BX14" s="16" t="s">
        <v>582</v>
      </c>
    </row>
    <row r="15" spans="1:76" ht="15" customHeight="1" x14ac:dyDescent="0.3">
      <c r="A15" s="88"/>
      <c r="B15" s="89" t="s">
        <v>112</v>
      </c>
      <c r="C15" s="89" t="s">
        <v>311</v>
      </c>
      <c r="D15" s="198" t="s">
        <v>585</v>
      </c>
      <c r="E15" s="198"/>
      <c r="F15" s="88" t="s">
        <v>96</v>
      </c>
      <c r="G15" s="90" t="s">
        <v>96</v>
      </c>
      <c r="H15" s="88" t="s">
        <v>96</v>
      </c>
      <c r="I15" s="88" t="s">
        <v>96</v>
      </c>
      <c r="J15" s="91">
        <f>SUM(J16:J18)</f>
        <v>0</v>
      </c>
      <c r="K15" s="91">
        <f>SUM(K16:K18)</f>
        <v>0</v>
      </c>
      <c r="L15" s="91">
        <f>SUM(L16:L18)</f>
        <v>0</v>
      </c>
      <c r="M15" s="91">
        <f>SUM(M16:M18)</f>
        <v>0</v>
      </c>
      <c r="N15" s="92"/>
      <c r="O15" s="91">
        <f>SUM(O16:O18)</f>
        <v>0</v>
      </c>
      <c r="P15" s="92"/>
      <c r="AI15" s="75" t="s">
        <v>112</v>
      </c>
      <c r="AS15" s="68">
        <f>SUM(AJ16:AJ18)</f>
        <v>0</v>
      </c>
      <c r="AT15" s="68">
        <f>SUM(AK16:AK18)</f>
        <v>0</v>
      </c>
      <c r="AU15" s="68">
        <f>SUM(AL16:AL18)</f>
        <v>0</v>
      </c>
    </row>
    <row r="16" spans="1:76" ht="24" customHeight="1" x14ac:dyDescent="0.3">
      <c r="A16" s="94" t="s">
        <v>162</v>
      </c>
      <c r="B16" s="94" t="s">
        <v>112</v>
      </c>
      <c r="C16" s="94" t="s">
        <v>587</v>
      </c>
      <c r="D16" s="199" t="s">
        <v>588</v>
      </c>
      <c r="E16" s="199"/>
      <c r="F16" s="94" t="s">
        <v>212</v>
      </c>
      <c r="G16" s="96">
        <f>'Stavební rozpočet'!G181</f>
        <v>3</v>
      </c>
      <c r="H16" s="97">
        <f>'Stavební rozpočet'!H181</f>
        <v>0</v>
      </c>
      <c r="I16" s="98">
        <v>21</v>
      </c>
      <c r="J16" s="97">
        <f>ROUND(G16*AO16,2)</f>
        <v>0</v>
      </c>
      <c r="K16" s="97">
        <f>ROUND(G16*AP16,2)</f>
        <v>0</v>
      </c>
      <c r="L16" s="97">
        <f>ROUND(G16*H16,2)</f>
        <v>0</v>
      </c>
      <c r="M16" s="97">
        <f>L16*(1+BW16/100)</f>
        <v>0</v>
      </c>
      <c r="N16" s="97">
        <f>'Stavební rozpočet'!N181</f>
        <v>0</v>
      </c>
      <c r="O16" s="97">
        <f>G16*N16</f>
        <v>0</v>
      </c>
      <c r="P16" s="99" t="s">
        <v>156</v>
      </c>
      <c r="Z16" s="55">
        <f>ROUND(IF(AQ16="5",BJ16,0),2)</f>
        <v>0</v>
      </c>
      <c r="AB16" s="55">
        <f>ROUND(IF(AQ16="1",BH16,0),2)</f>
        <v>0</v>
      </c>
      <c r="AC16" s="55">
        <f>ROUND(IF(AQ16="1",BI16,0),2)</f>
        <v>0</v>
      </c>
      <c r="AD16" s="55">
        <f>ROUND(IF(AQ16="7",BH16,0),2)</f>
        <v>0</v>
      </c>
      <c r="AE16" s="55">
        <f>ROUND(IF(AQ16="7",BI16,0),2)</f>
        <v>0</v>
      </c>
      <c r="AF16" s="55">
        <f>ROUND(IF(AQ16="2",BH16,0),2)</f>
        <v>0</v>
      </c>
      <c r="AG16" s="55">
        <f>ROUND(IF(AQ16="2",BI16,0),2)</f>
        <v>0</v>
      </c>
      <c r="AH16" s="55">
        <f>ROUND(IF(AQ16="0",BJ16,0),2)</f>
        <v>0</v>
      </c>
      <c r="AI16" s="75" t="s">
        <v>112</v>
      </c>
      <c r="AJ16" s="55">
        <f>IF(AN16=0,L16,0)</f>
        <v>0</v>
      </c>
      <c r="AK16" s="55">
        <f>IF(AN16=12,L16,0)</f>
        <v>0</v>
      </c>
      <c r="AL16" s="55">
        <f>IF(AN16=21,L16,0)</f>
        <v>0</v>
      </c>
      <c r="AN16" s="55">
        <v>21</v>
      </c>
      <c r="AO16" s="55">
        <f>H16*0</f>
        <v>0</v>
      </c>
      <c r="AP16" s="55">
        <f>H16*(1-0)</f>
        <v>0</v>
      </c>
      <c r="AQ16" s="54" t="s">
        <v>152</v>
      </c>
      <c r="AV16" s="55">
        <f>ROUND(AW16+AX16,2)</f>
        <v>0</v>
      </c>
      <c r="AW16" s="55">
        <f>ROUND(G16*AO16,2)</f>
        <v>0</v>
      </c>
      <c r="AX16" s="55">
        <f>ROUND(G16*AP16,2)</f>
        <v>0</v>
      </c>
      <c r="AY16" s="54" t="s">
        <v>589</v>
      </c>
      <c r="AZ16" s="54" t="s">
        <v>590</v>
      </c>
      <c r="BA16" s="75" t="s">
        <v>584</v>
      </c>
      <c r="BC16" s="55">
        <f>AW16+AX16</f>
        <v>0</v>
      </c>
      <c r="BD16" s="55">
        <f>H16/(100-BE16)*100</f>
        <v>0</v>
      </c>
      <c r="BE16" s="55">
        <v>0</v>
      </c>
      <c r="BF16" s="55">
        <f>O16</f>
        <v>0</v>
      </c>
      <c r="BH16" s="55">
        <f>G16*AO16</f>
        <v>0</v>
      </c>
      <c r="BI16" s="55">
        <f>G16*AP16</f>
        <v>0</v>
      </c>
      <c r="BJ16" s="55">
        <f>G16*H16</f>
        <v>0</v>
      </c>
      <c r="BK16" s="54" t="s">
        <v>161</v>
      </c>
      <c r="BL16" s="55">
        <v>38</v>
      </c>
      <c r="BW16" s="55">
        <f>I16</f>
        <v>21</v>
      </c>
      <c r="BX16" s="16" t="s">
        <v>588</v>
      </c>
    </row>
    <row r="17" spans="1:76" ht="15" customHeight="1" x14ac:dyDescent="0.3">
      <c r="A17" s="94" t="s">
        <v>167</v>
      </c>
      <c r="B17" s="94" t="s">
        <v>112</v>
      </c>
      <c r="C17" s="94" t="s">
        <v>592</v>
      </c>
      <c r="D17" s="199" t="s">
        <v>593</v>
      </c>
      <c r="E17" s="199"/>
      <c r="F17" s="94" t="s">
        <v>594</v>
      </c>
      <c r="G17" s="96">
        <f>'Stavební rozpočet'!G182</f>
        <v>8</v>
      </c>
      <c r="H17" s="97">
        <f>'Stavební rozpočet'!H182</f>
        <v>0</v>
      </c>
      <c r="I17" s="98">
        <v>21</v>
      </c>
      <c r="J17" s="97">
        <f>ROUND(G17*AO17,2)</f>
        <v>0</v>
      </c>
      <c r="K17" s="97">
        <f>ROUND(G17*AP17,2)</f>
        <v>0</v>
      </c>
      <c r="L17" s="97">
        <f>ROUND(G17*H17,2)</f>
        <v>0</v>
      </c>
      <c r="M17" s="97">
        <f>L17*(1+BW17/100)</f>
        <v>0</v>
      </c>
      <c r="N17" s="97">
        <f>'Stavební rozpočet'!N182</f>
        <v>0</v>
      </c>
      <c r="O17" s="97">
        <f>G17*N17</f>
        <v>0</v>
      </c>
      <c r="P17" s="99"/>
      <c r="Z17" s="55">
        <f>ROUND(IF(AQ17="5",BJ17,0),2)</f>
        <v>0</v>
      </c>
      <c r="AB17" s="55">
        <f>ROUND(IF(AQ17="1",BH17,0),2)</f>
        <v>0</v>
      </c>
      <c r="AC17" s="55">
        <f>ROUND(IF(AQ17="1",BI17,0),2)</f>
        <v>0</v>
      </c>
      <c r="AD17" s="55">
        <f>ROUND(IF(AQ17="7",BH17,0),2)</f>
        <v>0</v>
      </c>
      <c r="AE17" s="55">
        <f>ROUND(IF(AQ17="7",BI17,0),2)</f>
        <v>0</v>
      </c>
      <c r="AF17" s="55">
        <f>ROUND(IF(AQ17="2",BH17,0),2)</f>
        <v>0</v>
      </c>
      <c r="AG17" s="55">
        <f>ROUND(IF(AQ17="2",BI17,0),2)</f>
        <v>0</v>
      </c>
      <c r="AH17" s="55">
        <f>ROUND(IF(AQ17="0",BJ17,0),2)</f>
        <v>0</v>
      </c>
      <c r="AI17" s="75" t="s">
        <v>112</v>
      </c>
      <c r="AJ17" s="55">
        <f>IF(AN17=0,L17,0)</f>
        <v>0</v>
      </c>
      <c r="AK17" s="55">
        <f>IF(AN17=12,L17,0)</f>
        <v>0</v>
      </c>
      <c r="AL17" s="55">
        <f>IF(AN17=21,L17,0)</f>
        <v>0</v>
      </c>
      <c r="AN17" s="55">
        <v>21</v>
      </c>
      <c r="AO17" s="55">
        <f>H17*0</f>
        <v>0</v>
      </c>
      <c r="AP17" s="55">
        <f>H17*(1-0)</f>
        <v>0</v>
      </c>
      <c r="AQ17" s="54" t="s">
        <v>162</v>
      </c>
      <c r="AV17" s="55">
        <f>ROUND(AW17+AX17,2)</f>
        <v>0</v>
      </c>
      <c r="AW17" s="55">
        <f>ROUND(G17*AO17,2)</f>
        <v>0</v>
      </c>
      <c r="AX17" s="55">
        <f>ROUND(G17*AP17,2)</f>
        <v>0</v>
      </c>
      <c r="AY17" s="54" t="s">
        <v>589</v>
      </c>
      <c r="AZ17" s="54" t="s">
        <v>590</v>
      </c>
      <c r="BA17" s="75" t="s">
        <v>584</v>
      </c>
      <c r="BC17" s="55">
        <f>AW17+AX17</f>
        <v>0</v>
      </c>
      <c r="BD17" s="55">
        <f>H17/(100-BE17)*100</f>
        <v>0</v>
      </c>
      <c r="BE17" s="55">
        <v>0</v>
      </c>
      <c r="BF17" s="55">
        <f>O17</f>
        <v>0</v>
      </c>
      <c r="BH17" s="55">
        <f>G17*AO17</f>
        <v>0</v>
      </c>
      <c r="BI17" s="55">
        <f>G17*AP17</f>
        <v>0</v>
      </c>
      <c r="BJ17" s="55">
        <f>G17*H17</f>
        <v>0</v>
      </c>
      <c r="BK17" s="54" t="s">
        <v>161</v>
      </c>
      <c r="BL17" s="55">
        <v>38</v>
      </c>
      <c r="BW17" s="55">
        <f>I17</f>
        <v>21</v>
      </c>
      <c r="BX17" s="16" t="s">
        <v>593</v>
      </c>
    </row>
    <row r="18" spans="1:76" ht="15" customHeight="1" x14ac:dyDescent="0.3">
      <c r="A18" s="94" t="s">
        <v>173</v>
      </c>
      <c r="B18" s="94" t="s">
        <v>112</v>
      </c>
      <c r="C18" s="94" t="s">
        <v>596</v>
      </c>
      <c r="D18" s="199" t="s">
        <v>597</v>
      </c>
      <c r="E18" s="199"/>
      <c r="F18" s="94" t="s">
        <v>594</v>
      </c>
      <c r="G18" s="96">
        <f>'Stavební rozpočet'!G183</f>
        <v>4</v>
      </c>
      <c r="H18" s="97">
        <f>'Stavební rozpočet'!H183</f>
        <v>0</v>
      </c>
      <c r="I18" s="98">
        <v>21</v>
      </c>
      <c r="J18" s="97">
        <f>ROUND(G18*AO18,2)</f>
        <v>0</v>
      </c>
      <c r="K18" s="97">
        <f>ROUND(G18*AP18,2)</f>
        <v>0</v>
      </c>
      <c r="L18" s="97">
        <f>ROUND(G18*H18,2)</f>
        <v>0</v>
      </c>
      <c r="M18" s="97">
        <f>L18*(1+BW18/100)</f>
        <v>0</v>
      </c>
      <c r="N18" s="97">
        <f>'Stavební rozpočet'!N183</f>
        <v>0</v>
      </c>
      <c r="O18" s="97">
        <f>G18*N18</f>
        <v>0</v>
      </c>
      <c r="P18" s="99"/>
      <c r="Z18" s="55">
        <f>ROUND(IF(AQ18="5",BJ18,0),2)</f>
        <v>0</v>
      </c>
      <c r="AB18" s="55">
        <f>ROUND(IF(AQ18="1",BH18,0),2)</f>
        <v>0</v>
      </c>
      <c r="AC18" s="55">
        <f>ROUND(IF(AQ18="1",BI18,0),2)</f>
        <v>0</v>
      </c>
      <c r="AD18" s="55">
        <f>ROUND(IF(AQ18="7",BH18,0),2)</f>
        <v>0</v>
      </c>
      <c r="AE18" s="55">
        <f>ROUND(IF(AQ18="7",BI18,0),2)</f>
        <v>0</v>
      </c>
      <c r="AF18" s="55">
        <f>ROUND(IF(AQ18="2",BH18,0),2)</f>
        <v>0</v>
      </c>
      <c r="AG18" s="55">
        <f>ROUND(IF(AQ18="2",BI18,0),2)</f>
        <v>0</v>
      </c>
      <c r="AH18" s="55">
        <f>ROUND(IF(AQ18="0",BJ18,0),2)</f>
        <v>0</v>
      </c>
      <c r="AI18" s="75" t="s">
        <v>112</v>
      </c>
      <c r="AJ18" s="55">
        <f>IF(AN18=0,L18,0)</f>
        <v>0</v>
      </c>
      <c r="AK18" s="55">
        <f>IF(AN18=12,L18,0)</f>
        <v>0</v>
      </c>
      <c r="AL18" s="55">
        <f>IF(AN18=21,L18,0)</f>
        <v>0</v>
      </c>
      <c r="AN18" s="55">
        <v>21</v>
      </c>
      <c r="AO18" s="55">
        <f>H18*0</f>
        <v>0</v>
      </c>
      <c r="AP18" s="55">
        <f>H18*(1-0)</f>
        <v>0</v>
      </c>
      <c r="AQ18" s="54" t="s">
        <v>162</v>
      </c>
      <c r="AV18" s="55">
        <f>ROUND(AW18+AX18,2)</f>
        <v>0</v>
      </c>
      <c r="AW18" s="55">
        <f>ROUND(G18*AO18,2)</f>
        <v>0</v>
      </c>
      <c r="AX18" s="55">
        <f>ROUND(G18*AP18,2)</f>
        <v>0</v>
      </c>
      <c r="AY18" s="54" t="s">
        <v>589</v>
      </c>
      <c r="AZ18" s="54" t="s">
        <v>590</v>
      </c>
      <c r="BA18" s="75" t="s">
        <v>584</v>
      </c>
      <c r="BC18" s="55">
        <f>AW18+AX18</f>
        <v>0</v>
      </c>
      <c r="BD18" s="55">
        <f>H18/(100-BE18)*100</f>
        <v>0</v>
      </c>
      <c r="BE18" s="55">
        <v>0</v>
      </c>
      <c r="BF18" s="55">
        <f>O18</f>
        <v>0</v>
      </c>
      <c r="BH18" s="55">
        <f>G18*AO18</f>
        <v>0</v>
      </c>
      <c r="BI18" s="55">
        <f>G18*AP18</f>
        <v>0</v>
      </c>
      <c r="BJ18" s="55">
        <f>G18*H18</f>
        <v>0</v>
      </c>
      <c r="BK18" s="54" t="s">
        <v>161</v>
      </c>
      <c r="BL18" s="55">
        <v>38</v>
      </c>
      <c r="BW18" s="55">
        <f>I18</f>
        <v>21</v>
      </c>
      <c r="BX18" s="16" t="s">
        <v>597</v>
      </c>
    </row>
    <row r="19" spans="1:76" ht="15" customHeight="1" x14ac:dyDescent="0.3">
      <c r="A19" s="88"/>
      <c r="B19" s="89" t="s">
        <v>112</v>
      </c>
      <c r="C19" s="89" t="s">
        <v>370</v>
      </c>
      <c r="D19" s="198" t="s">
        <v>598</v>
      </c>
      <c r="E19" s="198"/>
      <c r="F19" s="88" t="s">
        <v>96</v>
      </c>
      <c r="G19" s="90" t="s">
        <v>96</v>
      </c>
      <c r="H19" s="88" t="s">
        <v>96</v>
      </c>
      <c r="I19" s="88" t="s">
        <v>96</v>
      </c>
      <c r="J19" s="91">
        <f>SUM(J20:J32)</f>
        <v>0</v>
      </c>
      <c r="K19" s="91">
        <f>SUM(K20:K32)</f>
        <v>0</v>
      </c>
      <c r="L19" s="91">
        <f>SUM(L20:L32)</f>
        <v>0</v>
      </c>
      <c r="M19" s="91">
        <f>SUM(M20:M32)</f>
        <v>0</v>
      </c>
      <c r="N19" s="92"/>
      <c r="O19" s="91">
        <f>SUM(O20:O32)</f>
        <v>602.23429999999996</v>
      </c>
      <c r="P19" s="92"/>
      <c r="AI19" s="75" t="s">
        <v>112</v>
      </c>
      <c r="AS19" s="68">
        <f>SUM(AJ20:AJ32)</f>
        <v>0</v>
      </c>
      <c r="AT19" s="68">
        <f>SUM(AK20:AK32)</f>
        <v>0</v>
      </c>
      <c r="AU19" s="68">
        <f>SUM(AL20:AL32)</f>
        <v>0</v>
      </c>
    </row>
    <row r="20" spans="1:76" ht="23.85" customHeight="1" x14ac:dyDescent="0.3">
      <c r="A20" s="94" t="s">
        <v>179</v>
      </c>
      <c r="B20" s="94" t="s">
        <v>112</v>
      </c>
      <c r="C20" s="94" t="s">
        <v>600</v>
      </c>
      <c r="D20" s="199" t="s">
        <v>601</v>
      </c>
      <c r="E20" s="199"/>
      <c r="F20" s="94" t="s">
        <v>287</v>
      </c>
      <c r="G20" s="96">
        <f>'Stavební rozpočet'!G185</f>
        <v>6</v>
      </c>
      <c r="H20" s="97">
        <f>'Stavební rozpočet'!H185</f>
        <v>0</v>
      </c>
      <c r="I20" s="98">
        <v>21</v>
      </c>
      <c r="J20" s="97">
        <f t="shared" ref="J20:J32" si="0">ROUND(G20*AO20,2)</f>
        <v>0</v>
      </c>
      <c r="K20" s="97">
        <f t="shared" ref="K20:K32" si="1">ROUND(G20*AP20,2)</f>
        <v>0</v>
      </c>
      <c r="L20" s="97">
        <f t="shared" ref="L20:L32" si="2">ROUND(G20*H20,2)</f>
        <v>0</v>
      </c>
      <c r="M20" s="97">
        <f t="shared" ref="M20:M32" si="3">L20*(1+BW20/100)</f>
        <v>0</v>
      </c>
      <c r="N20" s="97">
        <f>'Stavební rozpočet'!N185</f>
        <v>0</v>
      </c>
      <c r="O20" s="97">
        <f t="shared" ref="O20:O32" si="4">G20*N20</f>
        <v>0</v>
      </c>
      <c r="P20" s="99" t="s">
        <v>156</v>
      </c>
      <c r="Z20" s="55">
        <f t="shared" ref="Z20:Z32" si="5">ROUND(IF(AQ20="5",BJ20,0),2)</f>
        <v>0</v>
      </c>
      <c r="AB20" s="55">
        <f t="shared" ref="AB20:AB32" si="6">ROUND(IF(AQ20="1",BH20,0),2)</f>
        <v>0</v>
      </c>
      <c r="AC20" s="55">
        <f t="shared" ref="AC20:AC32" si="7">ROUND(IF(AQ20="1",BI20,0),2)</f>
        <v>0</v>
      </c>
      <c r="AD20" s="55">
        <f t="shared" ref="AD20:AD32" si="8">ROUND(IF(AQ20="7",BH20,0),2)</f>
        <v>0</v>
      </c>
      <c r="AE20" s="55">
        <f t="shared" ref="AE20:AE32" si="9">ROUND(IF(AQ20="7",BI20,0),2)</f>
        <v>0</v>
      </c>
      <c r="AF20" s="55">
        <f t="shared" ref="AF20:AF32" si="10">ROUND(IF(AQ20="2",BH20,0),2)</f>
        <v>0</v>
      </c>
      <c r="AG20" s="55">
        <f t="shared" ref="AG20:AG32" si="11">ROUND(IF(AQ20="2",BI20,0),2)</f>
        <v>0</v>
      </c>
      <c r="AH20" s="55">
        <f t="shared" ref="AH20:AH32" si="12">ROUND(IF(AQ20="0",BJ20,0),2)</f>
        <v>0</v>
      </c>
      <c r="AI20" s="75" t="s">
        <v>112</v>
      </c>
      <c r="AJ20" s="55">
        <f t="shared" ref="AJ20:AJ32" si="13">IF(AN20=0,L20,0)</f>
        <v>0</v>
      </c>
      <c r="AK20" s="55">
        <f t="shared" ref="AK20:AK32" si="14">IF(AN20=12,L20,0)</f>
        <v>0</v>
      </c>
      <c r="AL20" s="55">
        <f t="shared" ref="AL20:AL32" si="15">IF(AN20=21,L20,0)</f>
        <v>0</v>
      </c>
      <c r="AN20" s="55">
        <v>21</v>
      </c>
      <c r="AO20" s="55">
        <f>H20*0</f>
        <v>0</v>
      </c>
      <c r="AP20" s="55">
        <f>H20*(1-0)</f>
        <v>0</v>
      </c>
      <c r="AQ20" s="54" t="s">
        <v>152</v>
      </c>
      <c r="AV20" s="55">
        <f t="shared" ref="AV20:AV32" si="16">ROUND(AW20+AX20,2)</f>
        <v>0</v>
      </c>
      <c r="AW20" s="55">
        <f t="shared" ref="AW20:AW32" si="17">ROUND(G20*AO20,2)</f>
        <v>0</v>
      </c>
      <c r="AX20" s="55">
        <f t="shared" ref="AX20:AX32" si="18">ROUND(G20*AP20,2)</f>
        <v>0</v>
      </c>
      <c r="AY20" s="54" t="s">
        <v>602</v>
      </c>
      <c r="AZ20" s="54" t="s">
        <v>603</v>
      </c>
      <c r="BA20" s="75" t="s">
        <v>584</v>
      </c>
      <c r="BC20" s="55">
        <f t="shared" ref="BC20:BC32" si="19">AW20+AX20</f>
        <v>0</v>
      </c>
      <c r="BD20" s="55">
        <f t="shared" ref="BD20:BD32" si="20">H20/(100-BE20)*100</f>
        <v>0</v>
      </c>
      <c r="BE20" s="55">
        <v>0</v>
      </c>
      <c r="BF20" s="55">
        <f t="shared" ref="BF20:BF32" si="21">O20</f>
        <v>0</v>
      </c>
      <c r="BH20" s="55">
        <f t="shared" ref="BH20:BH32" si="22">G20*AO20</f>
        <v>0</v>
      </c>
      <c r="BI20" s="55">
        <f t="shared" ref="BI20:BI32" si="23">G20*AP20</f>
        <v>0</v>
      </c>
      <c r="BJ20" s="55">
        <f t="shared" ref="BJ20:BJ32" si="24">G20*H20</f>
        <v>0</v>
      </c>
      <c r="BK20" s="54" t="s">
        <v>161</v>
      </c>
      <c r="BL20" s="55">
        <v>56</v>
      </c>
      <c r="BW20" s="55">
        <f t="shared" ref="BW20:BW32" si="25">I20</f>
        <v>21</v>
      </c>
      <c r="BX20" s="16" t="s">
        <v>601</v>
      </c>
    </row>
    <row r="21" spans="1:76" ht="15" customHeight="1" x14ac:dyDescent="0.3">
      <c r="A21" s="94" t="s">
        <v>182</v>
      </c>
      <c r="B21" s="94" t="s">
        <v>112</v>
      </c>
      <c r="C21" s="94" t="s">
        <v>605</v>
      </c>
      <c r="D21" s="199" t="s">
        <v>606</v>
      </c>
      <c r="E21" s="199"/>
      <c r="F21" s="94" t="s">
        <v>155</v>
      </c>
      <c r="G21" s="96">
        <f>'Stavební rozpočet'!G186</f>
        <v>460</v>
      </c>
      <c r="H21" s="97">
        <f>'Stavební rozpočet'!H186</f>
        <v>0</v>
      </c>
      <c r="I21" s="98">
        <v>21</v>
      </c>
      <c r="J21" s="97">
        <f t="shared" si="0"/>
        <v>0</v>
      </c>
      <c r="K21" s="97">
        <f t="shared" si="1"/>
        <v>0</v>
      </c>
      <c r="L21" s="97">
        <f t="shared" si="2"/>
        <v>0</v>
      </c>
      <c r="M21" s="97">
        <f t="shared" si="3"/>
        <v>0</v>
      </c>
      <c r="N21" s="97">
        <f>'Stavební rozpočet'!N186</f>
        <v>0</v>
      </c>
      <c r="O21" s="97">
        <f t="shared" si="4"/>
        <v>0</v>
      </c>
      <c r="P21" s="99" t="s">
        <v>156</v>
      </c>
      <c r="Z21" s="55">
        <f t="shared" si="5"/>
        <v>0</v>
      </c>
      <c r="AB21" s="55">
        <f t="shared" si="6"/>
        <v>0</v>
      </c>
      <c r="AC21" s="55">
        <f t="shared" si="7"/>
        <v>0</v>
      </c>
      <c r="AD21" s="55">
        <f t="shared" si="8"/>
        <v>0</v>
      </c>
      <c r="AE21" s="55">
        <f t="shared" si="9"/>
        <v>0</v>
      </c>
      <c r="AF21" s="55">
        <f t="shared" si="10"/>
        <v>0</v>
      </c>
      <c r="AG21" s="55">
        <f t="shared" si="11"/>
        <v>0</v>
      </c>
      <c r="AH21" s="55">
        <f t="shared" si="12"/>
        <v>0</v>
      </c>
      <c r="AI21" s="75" t="s">
        <v>112</v>
      </c>
      <c r="AJ21" s="55">
        <f t="shared" si="13"/>
        <v>0</v>
      </c>
      <c r="AK21" s="55">
        <f t="shared" si="14"/>
        <v>0</v>
      </c>
      <c r="AL21" s="55">
        <f t="shared" si="15"/>
        <v>0</v>
      </c>
      <c r="AN21" s="55">
        <v>21</v>
      </c>
      <c r="AO21" s="55">
        <f>H21*0</f>
        <v>0</v>
      </c>
      <c r="AP21" s="55">
        <f>H21*(1-0)</f>
        <v>0</v>
      </c>
      <c r="AQ21" s="54" t="s">
        <v>152</v>
      </c>
      <c r="AV21" s="55">
        <f t="shared" si="16"/>
        <v>0</v>
      </c>
      <c r="AW21" s="55">
        <f t="shared" si="17"/>
        <v>0</v>
      </c>
      <c r="AX21" s="55">
        <f t="shared" si="18"/>
        <v>0</v>
      </c>
      <c r="AY21" s="54" t="s">
        <v>602</v>
      </c>
      <c r="AZ21" s="54" t="s">
        <v>603</v>
      </c>
      <c r="BA21" s="75" t="s">
        <v>584</v>
      </c>
      <c r="BC21" s="55">
        <f t="shared" si="19"/>
        <v>0</v>
      </c>
      <c r="BD21" s="55">
        <f t="shared" si="20"/>
        <v>0</v>
      </c>
      <c r="BE21" s="55">
        <v>0</v>
      </c>
      <c r="BF21" s="55">
        <f t="shared" si="21"/>
        <v>0</v>
      </c>
      <c r="BH21" s="55">
        <f t="shared" si="22"/>
        <v>0</v>
      </c>
      <c r="BI21" s="55">
        <f t="shared" si="23"/>
        <v>0</v>
      </c>
      <c r="BJ21" s="55">
        <f t="shared" si="24"/>
        <v>0</v>
      </c>
      <c r="BK21" s="54" t="s">
        <v>161</v>
      </c>
      <c r="BL21" s="55">
        <v>56</v>
      </c>
      <c r="BW21" s="55">
        <f t="shared" si="25"/>
        <v>21</v>
      </c>
      <c r="BX21" s="16" t="s">
        <v>606</v>
      </c>
    </row>
    <row r="22" spans="1:76" ht="15" customHeight="1" x14ac:dyDescent="0.3">
      <c r="A22" s="105" t="s">
        <v>157</v>
      </c>
      <c r="B22" s="105" t="s">
        <v>112</v>
      </c>
      <c r="C22" s="105" t="s">
        <v>608</v>
      </c>
      <c r="D22" s="201" t="s">
        <v>609</v>
      </c>
      <c r="E22" s="201"/>
      <c r="F22" s="105" t="s">
        <v>155</v>
      </c>
      <c r="G22" s="107">
        <f>'Stavební rozpočet'!G187</f>
        <v>529</v>
      </c>
      <c r="H22" s="108">
        <f>'Stavební rozpočet'!H187</f>
        <v>0</v>
      </c>
      <c r="I22" s="109">
        <v>21</v>
      </c>
      <c r="J22" s="108">
        <f t="shared" si="0"/>
        <v>0</v>
      </c>
      <c r="K22" s="108">
        <f t="shared" si="1"/>
        <v>0</v>
      </c>
      <c r="L22" s="108">
        <f t="shared" si="2"/>
        <v>0</v>
      </c>
      <c r="M22" s="108">
        <f t="shared" si="3"/>
        <v>0</v>
      </c>
      <c r="N22" s="108">
        <f>'Stavební rozpočet'!N187</f>
        <v>5.0000000000000001E-4</v>
      </c>
      <c r="O22" s="108">
        <f t="shared" si="4"/>
        <v>0.26450000000000001</v>
      </c>
      <c r="P22" s="110" t="s">
        <v>156</v>
      </c>
      <c r="Z22" s="55">
        <f t="shared" si="5"/>
        <v>0</v>
      </c>
      <c r="AB22" s="55">
        <f t="shared" si="6"/>
        <v>0</v>
      </c>
      <c r="AC22" s="55">
        <f t="shared" si="7"/>
        <v>0</v>
      </c>
      <c r="AD22" s="55">
        <f t="shared" si="8"/>
        <v>0</v>
      </c>
      <c r="AE22" s="55">
        <f t="shared" si="9"/>
        <v>0</v>
      </c>
      <c r="AF22" s="55">
        <f t="shared" si="10"/>
        <v>0</v>
      </c>
      <c r="AG22" s="55">
        <f t="shared" si="11"/>
        <v>0</v>
      </c>
      <c r="AH22" s="55">
        <f t="shared" si="12"/>
        <v>0</v>
      </c>
      <c r="AI22" s="75" t="s">
        <v>112</v>
      </c>
      <c r="AJ22" s="111">
        <f t="shared" si="13"/>
        <v>0</v>
      </c>
      <c r="AK22" s="111">
        <f t="shared" si="14"/>
        <v>0</v>
      </c>
      <c r="AL22" s="111">
        <f t="shared" si="15"/>
        <v>0</v>
      </c>
      <c r="AN22" s="55">
        <v>21</v>
      </c>
      <c r="AO22" s="55">
        <f>H22*1</f>
        <v>0</v>
      </c>
      <c r="AP22" s="55">
        <f>H22*(1-1)</f>
        <v>0</v>
      </c>
      <c r="AQ22" s="112" t="s">
        <v>152</v>
      </c>
      <c r="AV22" s="55">
        <f t="shared" si="16"/>
        <v>0</v>
      </c>
      <c r="AW22" s="55">
        <f t="shared" si="17"/>
        <v>0</v>
      </c>
      <c r="AX22" s="55">
        <f t="shared" si="18"/>
        <v>0</v>
      </c>
      <c r="AY22" s="54" t="s">
        <v>602</v>
      </c>
      <c r="AZ22" s="54" t="s">
        <v>603</v>
      </c>
      <c r="BA22" s="75" t="s">
        <v>584</v>
      </c>
      <c r="BC22" s="55">
        <f t="shared" si="19"/>
        <v>0</v>
      </c>
      <c r="BD22" s="55">
        <f t="shared" si="20"/>
        <v>0</v>
      </c>
      <c r="BE22" s="55">
        <v>0</v>
      </c>
      <c r="BF22" s="55">
        <f t="shared" si="21"/>
        <v>0.26450000000000001</v>
      </c>
      <c r="BH22" s="111">
        <f t="shared" si="22"/>
        <v>0</v>
      </c>
      <c r="BI22" s="111">
        <f t="shared" si="23"/>
        <v>0</v>
      </c>
      <c r="BJ22" s="111">
        <f t="shared" si="24"/>
        <v>0</v>
      </c>
      <c r="BK22" s="112" t="s">
        <v>489</v>
      </c>
      <c r="BL22" s="55">
        <v>56</v>
      </c>
      <c r="BW22" s="55">
        <f t="shared" si="25"/>
        <v>21</v>
      </c>
      <c r="BX22" s="113" t="s">
        <v>609</v>
      </c>
    </row>
    <row r="23" spans="1:76" ht="24" customHeight="1" x14ac:dyDescent="0.3">
      <c r="A23" s="94" t="s">
        <v>190</v>
      </c>
      <c r="B23" s="94" t="s">
        <v>112</v>
      </c>
      <c r="C23" s="94" t="s">
        <v>611</v>
      </c>
      <c r="D23" s="199" t="s">
        <v>612</v>
      </c>
      <c r="E23" s="199"/>
      <c r="F23" s="94" t="s">
        <v>155</v>
      </c>
      <c r="G23" s="96">
        <f>'Stavební rozpočet'!G188</f>
        <v>460</v>
      </c>
      <c r="H23" s="97">
        <f>'Stavební rozpočet'!H188</f>
        <v>0</v>
      </c>
      <c r="I23" s="98">
        <v>21</v>
      </c>
      <c r="J23" s="97">
        <f t="shared" si="0"/>
        <v>0</v>
      </c>
      <c r="K23" s="97">
        <f t="shared" si="1"/>
        <v>0</v>
      </c>
      <c r="L23" s="97">
        <f t="shared" si="2"/>
        <v>0</v>
      </c>
      <c r="M23" s="97">
        <f t="shared" si="3"/>
        <v>0</v>
      </c>
      <c r="N23" s="97">
        <f>'Stavební rozpočet'!N188</f>
        <v>0.49875000000000003</v>
      </c>
      <c r="O23" s="97">
        <f t="shared" si="4"/>
        <v>229.42500000000001</v>
      </c>
      <c r="P23" s="99" t="s">
        <v>156</v>
      </c>
      <c r="Z23" s="55">
        <f t="shared" si="5"/>
        <v>0</v>
      </c>
      <c r="AB23" s="55">
        <f t="shared" si="6"/>
        <v>0</v>
      </c>
      <c r="AC23" s="55">
        <f t="shared" si="7"/>
        <v>0</v>
      </c>
      <c r="AD23" s="55">
        <f t="shared" si="8"/>
        <v>0</v>
      </c>
      <c r="AE23" s="55">
        <f t="shared" si="9"/>
        <v>0</v>
      </c>
      <c r="AF23" s="55">
        <f t="shared" si="10"/>
        <v>0</v>
      </c>
      <c r="AG23" s="55">
        <f t="shared" si="11"/>
        <v>0</v>
      </c>
      <c r="AH23" s="55">
        <f t="shared" si="12"/>
        <v>0</v>
      </c>
      <c r="AI23" s="75" t="s">
        <v>112</v>
      </c>
      <c r="AJ23" s="55">
        <f t="shared" si="13"/>
        <v>0</v>
      </c>
      <c r="AK23" s="55">
        <f t="shared" si="14"/>
        <v>0</v>
      </c>
      <c r="AL23" s="55">
        <f t="shared" si="15"/>
        <v>0</v>
      </c>
      <c r="AN23" s="55">
        <v>21</v>
      </c>
      <c r="AO23" s="55">
        <f>H23*0.84911828</f>
        <v>0</v>
      </c>
      <c r="AP23" s="55">
        <f>H23*(1-0.84911828)</f>
        <v>0</v>
      </c>
      <c r="AQ23" s="54" t="s">
        <v>152</v>
      </c>
      <c r="AV23" s="55">
        <f t="shared" si="16"/>
        <v>0</v>
      </c>
      <c r="AW23" s="55">
        <f t="shared" si="17"/>
        <v>0</v>
      </c>
      <c r="AX23" s="55">
        <f t="shared" si="18"/>
        <v>0</v>
      </c>
      <c r="AY23" s="54" t="s">
        <v>602</v>
      </c>
      <c r="AZ23" s="54" t="s">
        <v>603</v>
      </c>
      <c r="BA23" s="75" t="s">
        <v>584</v>
      </c>
      <c r="BC23" s="55">
        <f t="shared" si="19"/>
        <v>0</v>
      </c>
      <c r="BD23" s="55">
        <f t="shared" si="20"/>
        <v>0</v>
      </c>
      <c r="BE23" s="55">
        <v>0</v>
      </c>
      <c r="BF23" s="55">
        <f t="shared" si="21"/>
        <v>229.42500000000001</v>
      </c>
      <c r="BH23" s="55">
        <f t="shared" si="22"/>
        <v>0</v>
      </c>
      <c r="BI23" s="55">
        <f t="shared" si="23"/>
        <v>0</v>
      </c>
      <c r="BJ23" s="55">
        <f t="shared" si="24"/>
        <v>0</v>
      </c>
      <c r="BK23" s="54" t="s">
        <v>161</v>
      </c>
      <c r="BL23" s="55">
        <v>56</v>
      </c>
      <c r="BW23" s="55">
        <f t="shared" si="25"/>
        <v>21</v>
      </c>
      <c r="BX23" s="16" t="s">
        <v>612</v>
      </c>
    </row>
    <row r="24" spans="1:76" ht="15" customHeight="1" x14ac:dyDescent="0.3">
      <c r="A24" s="94" t="s">
        <v>195</v>
      </c>
      <c r="B24" s="94" t="s">
        <v>112</v>
      </c>
      <c r="C24" s="94" t="s">
        <v>614</v>
      </c>
      <c r="D24" s="199" t="s">
        <v>615</v>
      </c>
      <c r="E24" s="199"/>
      <c r="F24" s="94" t="s">
        <v>155</v>
      </c>
      <c r="G24" s="96">
        <f>'Stavební rozpočet'!G189</f>
        <v>460</v>
      </c>
      <c r="H24" s="97">
        <f>'Stavební rozpočet'!H189</f>
        <v>0</v>
      </c>
      <c r="I24" s="98">
        <v>21</v>
      </c>
      <c r="J24" s="97">
        <f t="shared" si="0"/>
        <v>0</v>
      </c>
      <c r="K24" s="97">
        <f t="shared" si="1"/>
        <v>0</v>
      </c>
      <c r="L24" s="97">
        <f t="shared" si="2"/>
        <v>0</v>
      </c>
      <c r="M24" s="97">
        <f t="shared" si="3"/>
        <v>0</v>
      </c>
      <c r="N24" s="97">
        <f>'Stavební rozpočet'!N189</f>
        <v>9.9750000000000005E-2</v>
      </c>
      <c r="O24" s="97">
        <f t="shared" si="4"/>
        <v>45.885000000000005</v>
      </c>
      <c r="P24" s="99" t="s">
        <v>156</v>
      </c>
      <c r="Z24" s="55">
        <f t="shared" si="5"/>
        <v>0</v>
      </c>
      <c r="AB24" s="55">
        <f t="shared" si="6"/>
        <v>0</v>
      </c>
      <c r="AC24" s="55">
        <f t="shared" si="7"/>
        <v>0</v>
      </c>
      <c r="AD24" s="55">
        <f t="shared" si="8"/>
        <v>0</v>
      </c>
      <c r="AE24" s="55">
        <f t="shared" si="9"/>
        <v>0</v>
      </c>
      <c r="AF24" s="55">
        <f t="shared" si="10"/>
        <v>0</v>
      </c>
      <c r="AG24" s="55">
        <f t="shared" si="11"/>
        <v>0</v>
      </c>
      <c r="AH24" s="55">
        <f t="shared" si="12"/>
        <v>0</v>
      </c>
      <c r="AI24" s="75" t="s">
        <v>112</v>
      </c>
      <c r="AJ24" s="55">
        <f t="shared" si="13"/>
        <v>0</v>
      </c>
      <c r="AK24" s="55">
        <f t="shared" si="14"/>
        <v>0</v>
      </c>
      <c r="AL24" s="55">
        <f t="shared" si="15"/>
        <v>0</v>
      </c>
      <c r="AN24" s="55">
        <v>21</v>
      </c>
      <c r="AO24" s="55">
        <f>H24*0.662794918</f>
        <v>0</v>
      </c>
      <c r="AP24" s="55">
        <f>H24*(1-0.662794918)</f>
        <v>0</v>
      </c>
      <c r="AQ24" s="54" t="s">
        <v>152</v>
      </c>
      <c r="AV24" s="55">
        <f t="shared" si="16"/>
        <v>0</v>
      </c>
      <c r="AW24" s="55">
        <f t="shared" si="17"/>
        <v>0</v>
      </c>
      <c r="AX24" s="55">
        <f t="shared" si="18"/>
        <v>0</v>
      </c>
      <c r="AY24" s="54" t="s">
        <v>602</v>
      </c>
      <c r="AZ24" s="54" t="s">
        <v>603</v>
      </c>
      <c r="BA24" s="75" t="s">
        <v>584</v>
      </c>
      <c r="BC24" s="55">
        <f t="shared" si="19"/>
        <v>0</v>
      </c>
      <c r="BD24" s="55">
        <f t="shared" si="20"/>
        <v>0</v>
      </c>
      <c r="BE24" s="55">
        <v>0</v>
      </c>
      <c r="BF24" s="55">
        <f t="shared" si="21"/>
        <v>45.885000000000005</v>
      </c>
      <c r="BH24" s="55">
        <f t="shared" si="22"/>
        <v>0</v>
      </c>
      <c r="BI24" s="55">
        <f t="shared" si="23"/>
        <v>0</v>
      </c>
      <c r="BJ24" s="55">
        <f t="shared" si="24"/>
        <v>0</v>
      </c>
      <c r="BK24" s="54" t="s">
        <v>161</v>
      </c>
      <c r="BL24" s="55">
        <v>56</v>
      </c>
      <c r="BW24" s="55">
        <f t="shared" si="25"/>
        <v>21</v>
      </c>
      <c r="BX24" s="16" t="s">
        <v>615</v>
      </c>
    </row>
    <row r="25" spans="1:76" ht="15" customHeight="1" x14ac:dyDescent="0.3">
      <c r="A25" s="94" t="s">
        <v>200</v>
      </c>
      <c r="B25" s="94" t="s">
        <v>112</v>
      </c>
      <c r="C25" s="94" t="s">
        <v>617</v>
      </c>
      <c r="D25" s="199" t="s">
        <v>618</v>
      </c>
      <c r="E25" s="199"/>
      <c r="F25" s="94" t="s">
        <v>155</v>
      </c>
      <c r="G25" s="96">
        <f>'Stavební rozpočet'!G190</f>
        <v>460</v>
      </c>
      <c r="H25" s="97">
        <f>'Stavební rozpočet'!H190</f>
        <v>0</v>
      </c>
      <c r="I25" s="98">
        <v>21</v>
      </c>
      <c r="J25" s="97">
        <f t="shared" si="0"/>
        <v>0</v>
      </c>
      <c r="K25" s="97">
        <f t="shared" si="1"/>
        <v>0</v>
      </c>
      <c r="L25" s="97">
        <f t="shared" si="2"/>
        <v>0</v>
      </c>
      <c r="M25" s="97">
        <f t="shared" si="3"/>
        <v>0</v>
      </c>
      <c r="N25" s="97">
        <f>'Stavební rozpočet'!N190</f>
        <v>0.7077</v>
      </c>
      <c r="O25" s="97">
        <f t="shared" si="4"/>
        <v>325.54199999999997</v>
      </c>
      <c r="P25" s="99" t="s">
        <v>156</v>
      </c>
      <c r="Z25" s="55">
        <f t="shared" si="5"/>
        <v>0</v>
      </c>
      <c r="AB25" s="55">
        <f t="shared" si="6"/>
        <v>0</v>
      </c>
      <c r="AC25" s="55">
        <f t="shared" si="7"/>
        <v>0</v>
      </c>
      <c r="AD25" s="55">
        <f t="shared" si="8"/>
        <v>0</v>
      </c>
      <c r="AE25" s="55">
        <f t="shared" si="9"/>
        <v>0</v>
      </c>
      <c r="AF25" s="55">
        <f t="shared" si="10"/>
        <v>0</v>
      </c>
      <c r="AG25" s="55">
        <f t="shared" si="11"/>
        <v>0</v>
      </c>
      <c r="AH25" s="55">
        <f t="shared" si="12"/>
        <v>0</v>
      </c>
      <c r="AI25" s="75" t="s">
        <v>112</v>
      </c>
      <c r="AJ25" s="55">
        <f t="shared" si="13"/>
        <v>0</v>
      </c>
      <c r="AK25" s="55">
        <f t="shared" si="14"/>
        <v>0</v>
      </c>
      <c r="AL25" s="55">
        <f t="shared" si="15"/>
        <v>0</v>
      </c>
      <c r="AN25" s="55">
        <v>21</v>
      </c>
      <c r="AO25" s="55">
        <f t="shared" ref="AO25:AO32" si="26">H25*0</f>
        <v>0</v>
      </c>
      <c r="AP25" s="55">
        <f t="shared" ref="AP25:AP32" si="27">H25*(1-0)</f>
        <v>0</v>
      </c>
      <c r="AQ25" s="54" t="s">
        <v>152</v>
      </c>
      <c r="AV25" s="55">
        <f t="shared" si="16"/>
        <v>0</v>
      </c>
      <c r="AW25" s="55">
        <f t="shared" si="17"/>
        <v>0</v>
      </c>
      <c r="AX25" s="55">
        <f t="shared" si="18"/>
        <v>0</v>
      </c>
      <c r="AY25" s="54" t="s">
        <v>602</v>
      </c>
      <c r="AZ25" s="54" t="s">
        <v>603</v>
      </c>
      <c r="BA25" s="75" t="s">
        <v>584</v>
      </c>
      <c r="BC25" s="55">
        <f t="shared" si="19"/>
        <v>0</v>
      </c>
      <c r="BD25" s="55">
        <f t="shared" si="20"/>
        <v>0</v>
      </c>
      <c r="BE25" s="55">
        <v>0</v>
      </c>
      <c r="BF25" s="55">
        <f t="shared" si="21"/>
        <v>325.54199999999997</v>
      </c>
      <c r="BH25" s="55">
        <f t="shared" si="22"/>
        <v>0</v>
      </c>
      <c r="BI25" s="55">
        <f t="shared" si="23"/>
        <v>0</v>
      </c>
      <c r="BJ25" s="55">
        <f t="shared" si="24"/>
        <v>0</v>
      </c>
      <c r="BK25" s="54" t="s">
        <v>161</v>
      </c>
      <c r="BL25" s="55">
        <v>56</v>
      </c>
      <c r="BW25" s="55">
        <f t="shared" si="25"/>
        <v>21</v>
      </c>
      <c r="BX25" s="16" t="s">
        <v>618</v>
      </c>
    </row>
    <row r="26" spans="1:76" ht="15" customHeight="1" x14ac:dyDescent="0.3">
      <c r="A26" s="94" t="s">
        <v>203</v>
      </c>
      <c r="B26" s="94" t="s">
        <v>112</v>
      </c>
      <c r="C26" s="94" t="s">
        <v>620</v>
      </c>
      <c r="D26" s="199" t="s">
        <v>621</v>
      </c>
      <c r="E26" s="199"/>
      <c r="F26" s="94" t="s">
        <v>323</v>
      </c>
      <c r="G26" s="96">
        <f>'Stavební rozpočet'!G191</f>
        <v>601.11599999999999</v>
      </c>
      <c r="H26" s="97">
        <f>'Stavební rozpočet'!H191</f>
        <v>0</v>
      </c>
      <c r="I26" s="98">
        <v>21</v>
      </c>
      <c r="J26" s="97">
        <f t="shared" si="0"/>
        <v>0</v>
      </c>
      <c r="K26" s="97">
        <f t="shared" si="1"/>
        <v>0</v>
      </c>
      <c r="L26" s="97">
        <f t="shared" si="2"/>
        <v>0</v>
      </c>
      <c r="M26" s="97">
        <f t="shared" si="3"/>
        <v>0</v>
      </c>
      <c r="N26" s="97">
        <f>'Stavební rozpočet'!N191</f>
        <v>0</v>
      </c>
      <c r="O26" s="97">
        <f t="shared" si="4"/>
        <v>0</v>
      </c>
      <c r="P26" s="99" t="s">
        <v>156</v>
      </c>
      <c r="Z26" s="55">
        <f t="shared" si="5"/>
        <v>0</v>
      </c>
      <c r="AB26" s="55">
        <f t="shared" si="6"/>
        <v>0</v>
      </c>
      <c r="AC26" s="55">
        <f t="shared" si="7"/>
        <v>0</v>
      </c>
      <c r="AD26" s="55">
        <f t="shared" si="8"/>
        <v>0</v>
      </c>
      <c r="AE26" s="55">
        <f t="shared" si="9"/>
        <v>0</v>
      </c>
      <c r="AF26" s="55">
        <f t="shared" si="10"/>
        <v>0</v>
      </c>
      <c r="AG26" s="55">
        <f t="shared" si="11"/>
        <v>0</v>
      </c>
      <c r="AH26" s="55">
        <f t="shared" si="12"/>
        <v>0</v>
      </c>
      <c r="AI26" s="75" t="s">
        <v>112</v>
      </c>
      <c r="AJ26" s="55">
        <f t="shared" si="13"/>
        <v>0</v>
      </c>
      <c r="AK26" s="55">
        <f t="shared" si="14"/>
        <v>0</v>
      </c>
      <c r="AL26" s="55">
        <f t="shared" si="15"/>
        <v>0</v>
      </c>
      <c r="AN26" s="55">
        <v>21</v>
      </c>
      <c r="AO26" s="55">
        <f t="shared" si="26"/>
        <v>0</v>
      </c>
      <c r="AP26" s="55">
        <f t="shared" si="27"/>
        <v>0</v>
      </c>
      <c r="AQ26" s="54" t="s">
        <v>179</v>
      </c>
      <c r="AV26" s="55">
        <f t="shared" si="16"/>
        <v>0</v>
      </c>
      <c r="AW26" s="55">
        <f t="shared" si="17"/>
        <v>0</v>
      </c>
      <c r="AX26" s="55">
        <f t="shared" si="18"/>
        <v>0</v>
      </c>
      <c r="AY26" s="54" t="s">
        <v>602</v>
      </c>
      <c r="AZ26" s="54" t="s">
        <v>603</v>
      </c>
      <c r="BA26" s="75" t="s">
        <v>584</v>
      </c>
      <c r="BC26" s="55">
        <f t="shared" si="19"/>
        <v>0</v>
      </c>
      <c r="BD26" s="55">
        <f t="shared" si="20"/>
        <v>0</v>
      </c>
      <c r="BE26" s="55">
        <v>0</v>
      </c>
      <c r="BF26" s="55">
        <f t="shared" si="21"/>
        <v>0</v>
      </c>
      <c r="BH26" s="55">
        <f t="shared" si="22"/>
        <v>0</v>
      </c>
      <c r="BI26" s="55">
        <f t="shared" si="23"/>
        <v>0</v>
      </c>
      <c r="BJ26" s="55">
        <f t="shared" si="24"/>
        <v>0</v>
      </c>
      <c r="BK26" s="54" t="s">
        <v>161</v>
      </c>
      <c r="BL26" s="55">
        <v>56</v>
      </c>
      <c r="BW26" s="55">
        <f t="shared" si="25"/>
        <v>21</v>
      </c>
      <c r="BX26" s="16" t="s">
        <v>621</v>
      </c>
    </row>
    <row r="27" spans="1:76" ht="24" customHeight="1" x14ac:dyDescent="0.3">
      <c r="A27" s="94" t="s">
        <v>206</v>
      </c>
      <c r="B27" s="94" t="s">
        <v>112</v>
      </c>
      <c r="C27" s="94" t="s">
        <v>623</v>
      </c>
      <c r="D27" s="199" t="s">
        <v>624</v>
      </c>
      <c r="E27" s="199"/>
      <c r="F27" s="94" t="s">
        <v>323</v>
      </c>
      <c r="G27" s="96">
        <f>'Stavební rozpočet'!G192</f>
        <v>6008.52</v>
      </c>
      <c r="H27" s="97">
        <f>'Stavební rozpočet'!H192</f>
        <v>0</v>
      </c>
      <c r="I27" s="98">
        <v>21</v>
      </c>
      <c r="J27" s="97">
        <f t="shared" si="0"/>
        <v>0</v>
      </c>
      <c r="K27" s="97">
        <f t="shared" si="1"/>
        <v>0</v>
      </c>
      <c r="L27" s="97">
        <f t="shared" si="2"/>
        <v>0</v>
      </c>
      <c r="M27" s="97">
        <f t="shared" si="3"/>
        <v>0</v>
      </c>
      <c r="N27" s="97">
        <f>'Stavební rozpočet'!N192</f>
        <v>0</v>
      </c>
      <c r="O27" s="97">
        <f t="shared" si="4"/>
        <v>0</v>
      </c>
      <c r="P27" s="99" t="s">
        <v>156</v>
      </c>
      <c r="Z27" s="55">
        <f t="shared" si="5"/>
        <v>0</v>
      </c>
      <c r="AB27" s="55">
        <f t="shared" si="6"/>
        <v>0</v>
      </c>
      <c r="AC27" s="55">
        <f t="shared" si="7"/>
        <v>0</v>
      </c>
      <c r="AD27" s="55">
        <f t="shared" si="8"/>
        <v>0</v>
      </c>
      <c r="AE27" s="55">
        <f t="shared" si="9"/>
        <v>0</v>
      </c>
      <c r="AF27" s="55">
        <f t="shared" si="10"/>
        <v>0</v>
      </c>
      <c r="AG27" s="55">
        <f t="shared" si="11"/>
        <v>0</v>
      </c>
      <c r="AH27" s="55">
        <f t="shared" si="12"/>
        <v>0</v>
      </c>
      <c r="AI27" s="75" t="s">
        <v>112</v>
      </c>
      <c r="AJ27" s="55">
        <f t="shared" si="13"/>
        <v>0</v>
      </c>
      <c r="AK27" s="55">
        <f t="shared" si="14"/>
        <v>0</v>
      </c>
      <c r="AL27" s="55">
        <f t="shared" si="15"/>
        <v>0</v>
      </c>
      <c r="AN27" s="55">
        <v>21</v>
      </c>
      <c r="AO27" s="55">
        <f t="shared" si="26"/>
        <v>0</v>
      </c>
      <c r="AP27" s="55">
        <f t="shared" si="27"/>
        <v>0</v>
      </c>
      <c r="AQ27" s="54" t="s">
        <v>179</v>
      </c>
      <c r="AV27" s="55">
        <f t="shared" si="16"/>
        <v>0</v>
      </c>
      <c r="AW27" s="55">
        <f t="shared" si="17"/>
        <v>0</v>
      </c>
      <c r="AX27" s="55">
        <f t="shared" si="18"/>
        <v>0</v>
      </c>
      <c r="AY27" s="54" t="s">
        <v>602</v>
      </c>
      <c r="AZ27" s="54" t="s">
        <v>603</v>
      </c>
      <c r="BA27" s="75" t="s">
        <v>584</v>
      </c>
      <c r="BC27" s="55">
        <f t="shared" si="19"/>
        <v>0</v>
      </c>
      <c r="BD27" s="55">
        <f t="shared" si="20"/>
        <v>0</v>
      </c>
      <c r="BE27" s="55">
        <v>0</v>
      </c>
      <c r="BF27" s="55">
        <f t="shared" si="21"/>
        <v>0</v>
      </c>
      <c r="BH27" s="55">
        <f t="shared" si="22"/>
        <v>0</v>
      </c>
      <c r="BI27" s="55">
        <f t="shared" si="23"/>
        <v>0</v>
      </c>
      <c r="BJ27" s="55">
        <f t="shared" si="24"/>
        <v>0</v>
      </c>
      <c r="BK27" s="54" t="s">
        <v>161</v>
      </c>
      <c r="BL27" s="55">
        <v>56</v>
      </c>
      <c r="BW27" s="55">
        <f t="shared" si="25"/>
        <v>21</v>
      </c>
      <c r="BX27" s="16" t="s">
        <v>624</v>
      </c>
    </row>
    <row r="28" spans="1:76" ht="24" customHeight="1" x14ac:dyDescent="0.3">
      <c r="A28" s="94" t="s">
        <v>209</v>
      </c>
      <c r="B28" s="94" t="s">
        <v>112</v>
      </c>
      <c r="C28" s="94" t="s">
        <v>405</v>
      </c>
      <c r="D28" s="199" t="s">
        <v>626</v>
      </c>
      <c r="E28" s="199"/>
      <c r="F28" s="94" t="s">
        <v>323</v>
      </c>
      <c r="G28" s="96">
        <f>'Stavební rozpočet'!G193</f>
        <v>325.54199999999997</v>
      </c>
      <c r="H28" s="97">
        <f>'Stavební rozpočet'!H193</f>
        <v>0</v>
      </c>
      <c r="I28" s="98">
        <v>21</v>
      </c>
      <c r="J28" s="97">
        <f t="shared" si="0"/>
        <v>0</v>
      </c>
      <c r="K28" s="97">
        <f t="shared" si="1"/>
        <v>0</v>
      </c>
      <c r="L28" s="97">
        <f t="shared" si="2"/>
        <v>0</v>
      </c>
      <c r="M28" s="97">
        <f t="shared" si="3"/>
        <v>0</v>
      </c>
      <c r="N28" s="97">
        <f>'Stavební rozpočet'!N193</f>
        <v>0</v>
      </c>
      <c r="O28" s="97">
        <f t="shared" si="4"/>
        <v>0</v>
      </c>
      <c r="P28" s="99" t="s">
        <v>156</v>
      </c>
      <c r="Z28" s="55">
        <f t="shared" si="5"/>
        <v>0</v>
      </c>
      <c r="AB28" s="55">
        <f t="shared" si="6"/>
        <v>0</v>
      </c>
      <c r="AC28" s="55">
        <f t="shared" si="7"/>
        <v>0</v>
      </c>
      <c r="AD28" s="55">
        <f t="shared" si="8"/>
        <v>0</v>
      </c>
      <c r="AE28" s="55">
        <f t="shared" si="9"/>
        <v>0</v>
      </c>
      <c r="AF28" s="55">
        <f t="shared" si="10"/>
        <v>0</v>
      </c>
      <c r="AG28" s="55">
        <f t="shared" si="11"/>
        <v>0</v>
      </c>
      <c r="AH28" s="55">
        <f t="shared" si="12"/>
        <v>0</v>
      </c>
      <c r="AI28" s="75" t="s">
        <v>112</v>
      </c>
      <c r="AJ28" s="55">
        <f t="shared" si="13"/>
        <v>0</v>
      </c>
      <c r="AK28" s="55">
        <f t="shared" si="14"/>
        <v>0</v>
      </c>
      <c r="AL28" s="55">
        <f t="shared" si="15"/>
        <v>0</v>
      </c>
      <c r="AN28" s="55">
        <v>21</v>
      </c>
      <c r="AO28" s="55">
        <f t="shared" si="26"/>
        <v>0</v>
      </c>
      <c r="AP28" s="55">
        <f t="shared" si="27"/>
        <v>0</v>
      </c>
      <c r="AQ28" s="54" t="s">
        <v>179</v>
      </c>
      <c r="AV28" s="55">
        <f t="shared" si="16"/>
        <v>0</v>
      </c>
      <c r="AW28" s="55">
        <f t="shared" si="17"/>
        <v>0</v>
      </c>
      <c r="AX28" s="55">
        <f t="shared" si="18"/>
        <v>0</v>
      </c>
      <c r="AY28" s="54" t="s">
        <v>602</v>
      </c>
      <c r="AZ28" s="54" t="s">
        <v>603</v>
      </c>
      <c r="BA28" s="75" t="s">
        <v>584</v>
      </c>
      <c r="BC28" s="55">
        <f t="shared" si="19"/>
        <v>0</v>
      </c>
      <c r="BD28" s="55">
        <f t="shared" si="20"/>
        <v>0</v>
      </c>
      <c r="BE28" s="55">
        <v>0</v>
      </c>
      <c r="BF28" s="55">
        <f t="shared" si="21"/>
        <v>0</v>
      </c>
      <c r="BH28" s="55">
        <f t="shared" si="22"/>
        <v>0</v>
      </c>
      <c r="BI28" s="55">
        <f t="shared" si="23"/>
        <v>0</v>
      </c>
      <c r="BJ28" s="55">
        <f t="shared" si="24"/>
        <v>0</v>
      </c>
      <c r="BK28" s="54" t="s">
        <v>161</v>
      </c>
      <c r="BL28" s="55">
        <v>56</v>
      </c>
      <c r="BW28" s="55">
        <f t="shared" si="25"/>
        <v>21</v>
      </c>
      <c r="BX28" s="16" t="s">
        <v>626</v>
      </c>
    </row>
    <row r="29" spans="1:76" ht="15" customHeight="1" x14ac:dyDescent="0.3">
      <c r="A29" s="94" t="s">
        <v>213</v>
      </c>
      <c r="B29" s="94" t="s">
        <v>112</v>
      </c>
      <c r="C29" s="94" t="s">
        <v>628</v>
      </c>
      <c r="D29" s="199" t="s">
        <v>629</v>
      </c>
      <c r="E29" s="199"/>
      <c r="F29" s="94" t="s">
        <v>155</v>
      </c>
      <c r="G29" s="96">
        <f>'Stavební rozpočet'!G194</f>
        <v>460</v>
      </c>
      <c r="H29" s="97">
        <f>'Stavební rozpočet'!H194</f>
        <v>0</v>
      </c>
      <c r="I29" s="98">
        <v>21</v>
      </c>
      <c r="J29" s="97">
        <f t="shared" si="0"/>
        <v>0</v>
      </c>
      <c r="K29" s="97">
        <f t="shared" si="1"/>
        <v>0</v>
      </c>
      <c r="L29" s="97">
        <f t="shared" si="2"/>
        <v>0</v>
      </c>
      <c r="M29" s="97">
        <f t="shared" si="3"/>
        <v>0</v>
      </c>
      <c r="N29" s="97">
        <f>'Stavební rozpočet'!N194</f>
        <v>2.4299999999999999E-3</v>
      </c>
      <c r="O29" s="97">
        <f t="shared" si="4"/>
        <v>1.1177999999999999</v>
      </c>
      <c r="P29" s="99" t="s">
        <v>156</v>
      </c>
      <c r="Z29" s="55">
        <f t="shared" si="5"/>
        <v>0</v>
      </c>
      <c r="AB29" s="55">
        <f t="shared" si="6"/>
        <v>0</v>
      </c>
      <c r="AC29" s="55">
        <f t="shared" si="7"/>
        <v>0</v>
      </c>
      <c r="AD29" s="55">
        <f t="shared" si="8"/>
        <v>0</v>
      </c>
      <c r="AE29" s="55">
        <f t="shared" si="9"/>
        <v>0</v>
      </c>
      <c r="AF29" s="55">
        <f t="shared" si="10"/>
        <v>0</v>
      </c>
      <c r="AG29" s="55">
        <f t="shared" si="11"/>
        <v>0</v>
      </c>
      <c r="AH29" s="55">
        <f t="shared" si="12"/>
        <v>0</v>
      </c>
      <c r="AI29" s="75" t="s">
        <v>112</v>
      </c>
      <c r="AJ29" s="55">
        <f t="shared" si="13"/>
        <v>0</v>
      </c>
      <c r="AK29" s="55">
        <f t="shared" si="14"/>
        <v>0</v>
      </c>
      <c r="AL29" s="55">
        <f t="shared" si="15"/>
        <v>0</v>
      </c>
      <c r="AN29" s="55">
        <v>21</v>
      </c>
      <c r="AO29" s="55">
        <f t="shared" si="26"/>
        <v>0</v>
      </c>
      <c r="AP29" s="55">
        <f t="shared" si="27"/>
        <v>0</v>
      </c>
      <c r="AQ29" s="54" t="s">
        <v>152</v>
      </c>
      <c r="AV29" s="55">
        <f t="shared" si="16"/>
        <v>0</v>
      </c>
      <c r="AW29" s="55">
        <f t="shared" si="17"/>
        <v>0</v>
      </c>
      <c r="AX29" s="55">
        <f t="shared" si="18"/>
        <v>0</v>
      </c>
      <c r="AY29" s="54" t="s">
        <v>602</v>
      </c>
      <c r="AZ29" s="54" t="s">
        <v>603</v>
      </c>
      <c r="BA29" s="75" t="s">
        <v>584</v>
      </c>
      <c r="BC29" s="55">
        <f t="shared" si="19"/>
        <v>0</v>
      </c>
      <c r="BD29" s="55">
        <f t="shared" si="20"/>
        <v>0</v>
      </c>
      <c r="BE29" s="55">
        <v>0</v>
      </c>
      <c r="BF29" s="55">
        <f t="shared" si="21"/>
        <v>1.1177999999999999</v>
      </c>
      <c r="BH29" s="55">
        <f t="shared" si="22"/>
        <v>0</v>
      </c>
      <c r="BI29" s="55">
        <f t="shared" si="23"/>
        <v>0</v>
      </c>
      <c r="BJ29" s="55">
        <f t="shared" si="24"/>
        <v>0</v>
      </c>
      <c r="BK29" s="54" t="s">
        <v>161</v>
      </c>
      <c r="BL29" s="55">
        <v>56</v>
      </c>
      <c r="BW29" s="55">
        <f t="shared" si="25"/>
        <v>21</v>
      </c>
      <c r="BX29" s="16" t="s">
        <v>629</v>
      </c>
    </row>
    <row r="30" spans="1:76" ht="15" customHeight="1" x14ac:dyDescent="0.3">
      <c r="A30" s="94" t="s">
        <v>218</v>
      </c>
      <c r="B30" s="94" t="s">
        <v>112</v>
      </c>
      <c r="C30" s="94" t="s">
        <v>453</v>
      </c>
      <c r="D30" s="199" t="s">
        <v>454</v>
      </c>
      <c r="E30" s="199"/>
      <c r="F30" s="94" t="s">
        <v>323</v>
      </c>
      <c r="G30" s="96">
        <f>'Stavební rozpočet'!G195</f>
        <v>0.65800000000000003</v>
      </c>
      <c r="H30" s="97">
        <f>'Stavební rozpočet'!H195</f>
        <v>0</v>
      </c>
      <c r="I30" s="98">
        <v>21</v>
      </c>
      <c r="J30" s="97">
        <f t="shared" si="0"/>
        <v>0</v>
      </c>
      <c r="K30" s="97">
        <f t="shared" si="1"/>
        <v>0</v>
      </c>
      <c r="L30" s="97">
        <f t="shared" si="2"/>
        <v>0</v>
      </c>
      <c r="M30" s="97">
        <f t="shared" si="3"/>
        <v>0</v>
      </c>
      <c r="N30" s="97">
        <f>'Stavební rozpočet'!N195</f>
        <v>0</v>
      </c>
      <c r="O30" s="97">
        <f t="shared" si="4"/>
        <v>0</v>
      </c>
      <c r="P30" s="99" t="s">
        <v>156</v>
      </c>
      <c r="Z30" s="55">
        <f t="shared" si="5"/>
        <v>0</v>
      </c>
      <c r="AB30" s="55">
        <f t="shared" si="6"/>
        <v>0</v>
      </c>
      <c r="AC30" s="55">
        <f t="shared" si="7"/>
        <v>0</v>
      </c>
      <c r="AD30" s="55">
        <f t="shared" si="8"/>
        <v>0</v>
      </c>
      <c r="AE30" s="55">
        <f t="shared" si="9"/>
        <v>0</v>
      </c>
      <c r="AF30" s="55">
        <f t="shared" si="10"/>
        <v>0</v>
      </c>
      <c r="AG30" s="55">
        <f t="shared" si="11"/>
        <v>0</v>
      </c>
      <c r="AH30" s="55">
        <f t="shared" si="12"/>
        <v>0</v>
      </c>
      <c r="AI30" s="75" t="s">
        <v>112</v>
      </c>
      <c r="AJ30" s="55">
        <f t="shared" si="13"/>
        <v>0</v>
      </c>
      <c r="AK30" s="55">
        <f t="shared" si="14"/>
        <v>0</v>
      </c>
      <c r="AL30" s="55">
        <f t="shared" si="15"/>
        <v>0</v>
      </c>
      <c r="AN30" s="55">
        <v>21</v>
      </c>
      <c r="AO30" s="55">
        <f t="shared" si="26"/>
        <v>0</v>
      </c>
      <c r="AP30" s="55">
        <f t="shared" si="27"/>
        <v>0</v>
      </c>
      <c r="AQ30" s="54" t="s">
        <v>179</v>
      </c>
      <c r="AV30" s="55">
        <f t="shared" si="16"/>
        <v>0</v>
      </c>
      <c r="AW30" s="55">
        <f t="shared" si="17"/>
        <v>0</v>
      </c>
      <c r="AX30" s="55">
        <f t="shared" si="18"/>
        <v>0</v>
      </c>
      <c r="AY30" s="54" t="s">
        <v>602</v>
      </c>
      <c r="AZ30" s="54" t="s">
        <v>603</v>
      </c>
      <c r="BA30" s="75" t="s">
        <v>584</v>
      </c>
      <c r="BC30" s="55">
        <f t="shared" si="19"/>
        <v>0</v>
      </c>
      <c r="BD30" s="55">
        <f t="shared" si="20"/>
        <v>0</v>
      </c>
      <c r="BE30" s="55">
        <v>0</v>
      </c>
      <c r="BF30" s="55">
        <f t="shared" si="21"/>
        <v>0</v>
      </c>
      <c r="BH30" s="55">
        <f t="shared" si="22"/>
        <v>0</v>
      </c>
      <c r="BI30" s="55">
        <f t="shared" si="23"/>
        <v>0</v>
      </c>
      <c r="BJ30" s="55">
        <f t="shared" si="24"/>
        <v>0</v>
      </c>
      <c r="BK30" s="54" t="s">
        <v>161</v>
      </c>
      <c r="BL30" s="55">
        <v>56</v>
      </c>
      <c r="BW30" s="55">
        <f t="shared" si="25"/>
        <v>21</v>
      </c>
      <c r="BX30" s="16" t="s">
        <v>454</v>
      </c>
    </row>
    <row r="31" spans="1:76" ht="15" customHeight="1" x14ac:dyDescent="0.3">
      <c r="A31" s="94" t="s">
        <v>223</v>
      </c>
      <c r="B31" s="94" t="s">
        <v>112</v>
      </c>
      <c r="C31" s="94" t="s">
        <v>456</v>
      </c>
      <c r="D31" s="199" t="s">
        <v>457</v>
      </c>
      <c r="E31" s="199"/>
      <c r="F31" s="94" t="s">
        <v>323</v>
      </c>
      <c r="G31" s="96">
        <f>'Stavební rozpočet'!G196</f>
        <v>6.58</v>
      </c>
      <c r="H31" s="97">
        <f>'Stavební rozpočet'!H196</f>
        <v>0</v>
      </c>
      <c r="I31" s="98">
        <v>21</v>
      </c>
      <c r="J31" s="97">
        <f t="shared" si="0"/>
        <v>0</v>
      </c>
      <c r="K31" s="97">
        <f t="shared" si="1"/>
        <v>0</v>
      </c>
      <c r="L31" s="97">
        <f t="shared" si="2"/>
        <v>0</v>
      </c>
      <c r="M31" s="97">
        <f t="shared" si="3"/>
        <v>0</v>
      </c>
      <c r="N31" s="97">
        <f>'Stavební rozpočet'!N196</f>
        <v>0</v>
      </c>
      <c r="O31" s="97">
        <f t="shared" si="4"/>
        <v>0</v>
      </c>
      <c r="P31" s="99" t="s">
        <v>156</v>
      </c>
      <c r="Z31" s="55">
        <f t="shared" si="5"/>
        <v>0</v>
      </c>
      <c r="AB31" s="55">
        <f t="shared" si="6"/>
        <v>0</v>
      </c>
      <c r="AC31" s="55">
        <f t="shared" si="7"/>
        <v>0</v>
      </c>
      <c r="AD31" s="55">
        <f t="shared" si="8"/>
        <v>0</v>
      </c>
      <c r="AE31" s="55">
        <f t="shared" si="9"/>
        <v>0</v>
      </c>
      <c r="AF31" s="55">
        <f t="shared" si="10"/>
        <v>0</v>
      </c>
      <c r="AG31" s="55">
        <f t="shared" si="11"/>
        <v>0</v>
      </c>
      <c r="AH31" s="55">
        <f t="shared" si="12"/>
        <v>0</v>
      </c>
      <c r="AI31" s="75" t="s">
        <v>112</v>
      </c>
      <c r="AJ31" s="55">
        <f t="shared" si="13"/>
        <v>0</v>
      </c>
      <c r="AK31" s="55">
        <f t="shared" si="14"/>
        <v>0</v>
      </c>
      <c r="AL31" s="55">
        <f t="shared" si="15"/>
        <v>0</v>
      </c>
      <c r="AN31" s="55">
        <v>21</v>
      </c>
      <c r="AO31" s="55">
        <f t="shared" si="26"/>
        <v>0</v>
      </c>
      <c r="AP31" s="55">
        <f t="shared" si="27"/>
        <v>0</v>
      </c>
      <c r="AQ31" s="54" t="s">
        <v>179</v>
      </c>
      <c r="AV31" s="55">
        <f t="shared" si="16"/>
        <v>0</v>
      </c>
      <c r="AW31" s="55">
        <f t="shared" si="17"/>
        <v>0</v>
      </c>
      <c r="AX31" s="55">
        <f t="shared" si="18"/>
        <v>0</v>
      </c>
      <c r="AY31" s="54" t="s">
        <v>602</v>
      </c>
      <c r="AZ31" s="54" t="s">
        <v>603</v>
      </c>
      <c r="BA31" s="75" t="s">
        <v>584</v>
      </c>
      <c r="BC31" s="55">
        <f t="shared" si="19"/>
        <v>0</v>
      </c>
      <c r="BD31" s="55">
        <f t="shared" si="20"/>
        <v>0</v>
      </c>
      <c r="BE31" s="55">
        <v>0</v>
      </c>
      <c r="BF31" s="55">
        <f t="shared" si="21"/>
        <v>0</v>
      </c>
      <c r="BH31" s="55">
        <f t="shared" si="22"/>
        <v>0</v>
      </c>
      <c r="BI31" s="55">
        <f t="shared" si="23"/>
        <v>0</v>
      </c>
      <c r="BJ31" s="55">
        <f t="shared" si="24"/>
        <v>0</v>
      </c>
      <c r="BK31" s="54" t="s">
        <v>161</v>
      </c>
      <c r="BL31" s="55">
        <v>56</v>
      </c>
      <c r="BW31" s="55">
        <f t="shared" si="25"/>
        <v>21</v>
      </c>
      <c r="BX31" s="16" t="s">
        <v>457</v>
      </c>
    </row>
    <row r="32" spans="1:76" ht="24" customHeight="1" x14ac:dyDescent="0.3">
      <c r="A32" s="94" t="s">
        <v>228</v>
      </c>
      <c r="B32" s="94" t="s">
        <v>112</v>
      </c>
      <c r="C32" s="94" t="s">
        <v>414</v>
      </c>
      <c r="D32" s="199" t="s">
        <v>415</v>
      </c>
      <c r="E32" s="199"/>
      <c r="F32" s="94" t="s">
        <v>323</v>
      </c>
      <c r="G32" s="96">
        <f>'Stavební rozpočet'!G197</f>
        <v>0.65800000000000003</v>
      </c>
      <c r="H32" s="97">
        <f>'Stavební rozpočet'!H197</f>
        <v>0</v>
      </c>
      <c r="I32" s="98">
        <v>21</v>
      </c>
      <c r="J32" s="97">
        <f t="shared" si="0"/>
        <v>0</v>
      </c>
      <c r="K32" s="97">
        <f t="shared" si="1"/>
        <v>0</v>
      </c>
      <c r="L32" s="97">
        <f t="shared" si="2"/>
        <v>0</v>
      </c>
      <c r="M32" s="97">
        <f t="shared" si="3"/>
        <v>0</v>
      </c>
      <c r="N32" s="97">
        <f>'Stavební rozpočet'!N197</f>
        <v>0</v>
      </c>
      <c r="O32" s="97">
        <f t="shared" si="4"/>
        <v>0</v>
      </c>
      <c r="P32" s="99" t="s">
        <v>156</v>
      </c>
      <c r="Z32" s="55">
        <f t="shared" si="5"/>
        <v>0</v>
      </c>
      <c r="AB32" s="55">
        <f t="shared" si="6"/>
        <v>0</v>
      </c>
      <c r="AC32" s="55">
        <f t="shared" si="7"/>
        <v>0</v>
      </c>
      <c r="AD32" s="55">
        <f t="shared" si="8"/>
        <v>0</v>
      </c>
      <c r="AE32" s="55">
        <f t="shared" si="9"/>
        <v>0</v>
      </c>
      <c r="AF32" s="55">
        <f t="shared" si="10"/>
        <v>0</v>
      </c>
      <c r="AG32" s="55">
        <f t="shared" si="11"/>
        <v>0</v>
      </c>
      <c r="AH32" s="55">
        <f t="shared" si="12"/>
        <v>0</v>
      </c>
      <c r="AI32" s="75" t="s">
        <v>112</v>
      </c>
      <c r="AJ32" s="55">
        <f t="shared" si="13"/>
        <v>0</v>
      </c>
      <c r="AK32" s="55">
        <f t="shared" si="14"/>
        <v>0</v>
      </c>
      <c r="AL32" s="55">
        <f t="shared" si="15"/>
        <v>0</v>
      </c>
      <c r="AN32" s="55">
        <v>21</v>
      </c>
      <c r="AO32" s="55">
        <f t="shared" si="26"/>
        <v>0</v>
      </c>
      <c r="AP32" s="55">
        <f t="shared" si="27"/>
        <v>0</v>
      </c>
      <c r="AQ32" s="54" t="s">
        <v>179</v>
      </c>
      <c r="AV32" s="55">
        <f t="shared" si="16"/>
        <v>0</v>
      </c>
      <c r="AW32" s="55">
        <f t="shared" si="17"/>
        <v>0</v>
      </c>
      <c r="AX32" s="55">
        <f t="shared" si="18"/>
        <v>0</v>
      </c>
      <c r="AY32" s="54" t="s">
        <v>602</v>
      </c>
      <c r="AZ32" s="54" t="s">
        <v>603</v>
      </c>
      <c r="BA32" s="75" t="s">
        <v>584</v>
      </c>
      <c r="BC32" s="55">
        <f t="shared" si="19"/>
        <v>0</v>
      </c>
      <c r="BD32" s="55">
        <f t="shared" si="20"/>
        <v>0</v>
      </c>
      <c r="BE32" s="55">
        <v>0</v>
      </c>
      <c r="BF32" s="55">
        <f t="shared" si="21"/>
        <v>0</v>
      </c>
      <c r="BH32" s="55">
        <f t="shared" si="22"/>
        <v>0</v>
      </c>
      <c r="BI32" s="55">
        <f t="shared" si="23"/>
        <v>0</v>
      </c>
      <c r="BJ32" s="55">
        <f t="shared" si="24"/>
        <v>0</v>
      </c>
      <c r="BK32" s="54" t="s">
        <v>161</v>
      </c>
      <c r="BL32" s="55">
        <v>56</v>
      </c>
      <c r="BW32" s="55">
        <f t="shared" si="25"/>
        <v>21</v>
      </c>
      <c r="BX32" s="16" t="s">
        <v>415</v>
      </c>
    </row>
    <row r="33" spans="1:76" ht="15" customHeight="1" x14ac:dyDescent="0.3">
      <c r="A33" s="88"/>
      <c r="B33" s="89" t="s">
        <v>112</v>
      </c>
      <c r="C33" s="89" t="s">
        <v>266</v>
      </c>
      <c r="D33" s="198" t="s">
        <v>267</v>
      </c>
      <c r="E33" s="198"/>
      <c r="F33" s="88" t="s">
        <v>96</v>
      </c>
      <c r="G33" s="90" t="s">
        <v>96</v>
      </c>
      <c r="H33" s="88" t="s">
        <v>96</v>
      </c>
      <c r="I33" s="88" t="s">
        <v>96</v>
      </c>
      <c r="J33" s="91">
        <f>SUM(J34:J42)</f>
        <v>0</v>
      </c>
      <c r="K33" s="91">
        <f>SUM(K34:K42)</f>
        <v>0</v>
      </c>
      <c r="L33" s="91">
        <f>SUM(L34:L42)</f>
        <v>0</v>
      </c>
      <c r="M33" s="91">
        <f>SUM(M34:M42)</f>
        <v>0</v>
      </c>
      <c r="N33" s="92"/>
      <c r="O33" s="91">
        <f>SUM(O34:O42)</f>
        <v>2.8560749999999997</v>
      </c>
      <c r="P33" s="92"/>
      <c r="AI33" s="75" t="s">
        <v>112</v>
      </c>
      <c r="AS33" s="68">
        <f>SUM(AJ34:AJ42)</f>
        <v>0</v>
      </c>
      <c r="AT33" s="68">
        <f>SUM(AK34:AK42)</f>
        <v>0</v>
      </c>
      <c r="AU33" s="68">
        <f>SUM(AL34:AL42)</f>
        <v>0</v>
      </c>
    </row>
    <row r="34" spans="1:76" ht="15" customHeight="1" x14ac:dyDescent="0.3">
      <c r="A34" s="94" t="s">
        <v>234</v>
      </c>
      <c r="B34" s="94" t="s">
        <v>112</v>
      </c>
      <c r="C34" s="94" t="s">
        <v>634</v>
      </c>
      <c r="D34" s="199" t="s">
        <v>635</v>
      </c>
      <c r="E34" s="199"/>
      <c r="F34" s="94" t="s">
        <v>176</v>
      </c>
      <c r="G34" s="96">
        <f>'Stavební rozpočet'!G199</f>
        <v>117.5</v>
      </c>
      <c r="H34" s="97">
        <f>'Stavební rozpočet'!H199</f>
        <v>0</v>
      </c>
      <c r="I34" s="98">
        <v>21</v>
      </c>
      <c r="J34" s="97">
        <f t="shared" ref="J34:J42" si="28">ROUND(G34*AO34,2)</f>
        <v>0</v>
      </c>
      <c r="K34" s="97">
        <f t="shared" ref="K34:K42" si="29">ROUND(G34*AP34,2)</f>
        <v>0</v>
      </c>
      <c r="L34" s="97">
        <f t="shared" ref="L34:L42" si="30">ROUND(G34*H34,2)</f>
        <v>0</v>
      </c>
      <c r="M34" s="97">
        <f t="shared" ref="M34:M42" si="31">L34*(1+BW34/100)</f>
        <v>0</v>
      </c>
      <c r="N34" s="97">
        <f>'Stavební rozpočet'!N199</f>
        <v>0</v>
      </c>
      <c r="O34" s="97">
        <f t="shared" ref="O34:O42" si="32">G34*N34</f>
        <v>0</v>
      </c>
      <c r="P34" s="99" t="s">
        <v>156</v>
      </c>
      <c r="Z34" s="55">
        <f t="shared" ref="Z34:Z42" si="33">ROUND(IF(AQ34="5",BJ34,0),2)</f>
        <v>0</v>
      </c>
      <c r="AB34" s="55">
        <f t="shared" ref="AB34:AB42" si="34">ROUND(IF(AQ34="1",BH34,0),2)</f>
        <v>0</v>
      </c>
      <c r="AC34" s="55">
        <f t="shared" ref="AC34:AC42" si="35">ROUND(IF(AQ34="1",BI34,0),2)</f>
        <v>0</v>
      </c>
      <c r="AD34" s="55">
        <f t="shared" ref="AD34:AD42" si="36">ROUND(IF(AQ34="7",BH34,0),2)</f>
        <v>0</v>
      </c>
      <c r="AE34" s="55">
        <f t="shared" ref="AE34:AE42" si="37">ROUND(IF(AQ34="7",BI34,0),2)</f>
        <v>0</v>
      </c>
      <c r="AF34" s="55">
        <f t="shared" ref="AF34:AF42" si="38">ROUND(IF(AQ34="2",BH34,0),2)</f>
        <v>0</v>
      </c>
      <c r="AG34" s="55">
        <f t="shared" ref="AG34:AG42" si="39">ROUND(IF(AQ34="2",BI34,0),2)</f>
        <v>0</v>
      </c>
      <c r="AH34" s="55">
        <f t="shared" ref="AH34:AH42" si="40">ROUND(IF(AQ34="0",BJ34,0),2)</f>
        <v>0</v>
      </c>
      <c r="AI34" s="75" t="s">
        <v>112</v>
      </c>
      <c r="AJ34" s="55">
        <f t="shared" ref="AJ34:AJ42" si="41">IF(AN34=0,L34,0)</f>
        <v>0</v>
      </c>
      <c r="AK34" s="55">
        <f t="shared" ref="AK34:AK42" si="42">IF(AN34=12,L34,0)</f>
        <v>0</v>
      </c>
      <c r="AL34" s="55">
        <f t="shared" ref="AL34:AL42" si="43">IF(AN34=21,L34,0)</f>
        <v>0</v>
      </c>
      <c r="AN34" s="55">
        <v>21</v>
      </c>
      <c r="AO34" s="55">
        <f>H34*0</f>
        <v>0</v>
      </c>
      <c r="AP34" s="55">
        <f>H34*(1-0)</f>
        <v>0</v>
      </c>
      <c r="AQ34" s="54" t="s">
        <v>157</v>
      </c>
      <c r="AV34" s="55">
        <f t="shared" ref="AV34:AV42" si="44">ROUND(AW34+AX34,2)</f>
        <v>0</v>
      </c>
      <c r="AW34" s="55">
        <f t="shared" ref="AW34:AW42" si="45">ROUND(G34*AO34,2)</f>
        <v>0</v>
      </c>
      <c r="AX34" s="55">
        <f t="shared" ref="AX34:AX42" si="46">ROUND(G34*AP34,2)</f>
        <v>0</v>
      </c>
      <c r="AY34" s="54" t="s">
        <v>271</v>
      </c>
      <c r="AZ34" s="54" t="s">
        <v>636</v>
      </c>
      <c r="BA34" s="75" t="s">
        <v>584</v>
      </c>
      <c r="BC34" s="55">
        <f t="shared" ref="BC34:BC42" si="47">AW34+AX34</f>
        <v>0</v>
      </c>
      <c r="BD34" s="55">
        <f t="shared" ref="BD34:BD42" si="48">H34/(100-BE34)*100</f>
        <v>0</v>
      </c>
      <c r="BE34" s="55">
        <v>0</v>
      </c>
      <c r="BF34" s="55">
        <f t="shared" ref="BF34:BF42" si="49">O34</f>
        <v>0</v>
      </c>
      <c r="BH34" s="55">
        <f t="shared" ref="BH34:BH42" si="50">G34*AO34</f>
        <v>0</v>
      </c>
      <c r="BI34" s="55">
        <f t="shared" ref="BI34:BI42" si="51">G34*AP34</f>
        <v>0</v>
      </c>
      <c r="BJ34" s="55">
        <f t="shared" ref="BJ34:BJ42" si="52">G34*H34</f>
        <v>0</v>
      </c>
      <c r="BK34" s="54" t="s">
        <v>161</v>
      </c>
      <c r="BL34" s="55">
        <v>767</v>
      </c>
      <c r="BW34" s="55">
        <f t="shared" ref="BW34:BW42" si="53">I34</f>
        <v>21</v>
      </c>
      <c r="BX34" s="16" t="s">
        <v>635</v>
      </c>
    </row>
    <row r="35" spans="1:76" ht="15" customHeight="1" x14ac:dyDescent="0.3">
      <c r="A35" s="94" t="s">
        <v>239</v>
      </c>
      <c r="B35" s="94" t="s">
        <v>112</v>
      </c>
      <c r="C35" s="94" t="s">
        <v>638</v>
      </c>
      <c r="D35" s="199" t="s">
        <v>639</v>
      </c>
      <c r="E35" s="199"/>
      <c r="F35" s="94" t="s">
        <v>176</v>
      </c>
      <c r="G35" s="96">
        <f>'Stavební rozpočet'!G200</f>
        <v>117.5</v>
      </c>
      <c r="H35" s="97">
        <f>'Stavební rozpočet'!H200</f>
        <v>0</v>
      </c>
      <c r="I35" s="98">
        <v>21</v>
      </c>
      <c r="J35" s="97">
        <f t="shared" si="28"/>
        <v>0</v>
      </c>
      <c r="K35" s="97">
        <f t="shared" si="29"/>
        <v>0</v>
      </c>
      <c r="L35" s="97">
        <f t="shared" si="30"/>
        <v>0</v>
      </c>
      <c r="M35" s="97">
        <f t="shared" si="31"/>
        <v>0</v>
      </c>
      <c r="N35" s="97">
        <f>'Stavební rozpočet'!N200</f>
        <v>9.2499999999999995E-3</v>
      </c>
      <c r="O35" s="97">
        <f t="shared" si="32"/>
        <v>1.086875</v>
      </c>
      <c r="P35" s="99" t="s">
        <v>156</v>
      </c>
      <c r="Z35" s="55">
        <f t="shared" si="33"/>
        <v>0</v>
      </c>
      <c r="AB35" s="55">
        <f t="shared" si="34"/>
        <v>0</v>
      </c>
      <c r="AC35" s="55">
        <f t="shared" si="35"/>
        <v>0</v>
      </c>
      <c r="AD35" s="55">
        <f t="shared" si="36"/>
        <v>0</v>
      </c>
      <c r="AE35" s="55">
        <f t="shared" si="37"/>
        <v>0</v>
      </c>
      <c r="AF35" s="55">
        <f t="shared" si="38"/>
        <v>0</v>
      </c>
      <c r="AG35" s="55">
        <f t="shared" si="39"/>
        <v>0</v>
      </c>
      <c r="AH35" s="55">
        <f t="shared" si="40"/>
        <v>0</v>
      </c>
      <c r="AI35" s="75" t="s">
        <v>112</v>
      </c>
      <c r="AJ35" s="55">
        <f t="shared" si="41"/>
        <v>0</v>
      </c>
      <c r="AK35" s="55">
        <f t="shared" si="42"/>
        <v>0</v>
      </c>
      <c r="AL35" s="55">
        <f t="shared" si="43"/>
        <v>0</v>
      </c>
      <c r="AN35" s="55">
        <v>21</v>
      </c>
      <c r="AO35" s="55">
        <f>H35*0</f>
        <v>0</v>
      </c>
      <c r="AP35" s="55">
        <f>H35*(1-0)</f>
        <v>0</v>
      </c>
      <c r="AQ35" s="54" t="s">
        <v>157</v>
      </c>
      <c r="AV35" s="55">
        <f t="shared" si="44"/>
        <v>0</v>
      </c>
      <c r="AW35" s="55">
        <f t="shared" si="45"/>
        <v>0</v>
      </c>
      <c r="AX35" s="55">
        <f t="shared" si="46"/>
        <v>0</v>
      </c>
      <c r="AY35" s="54" t="s">
        <v>271</v>
      </c>
      <c r="AZ35" s="54" t="s">
        <v>636</v>
      </c>
      <c r="BA35" s="75" t="s">
        <v>584</v>
      </c>
      <c r="BC35" s="55">
        <f t="shared" si="47"/>
        <v>0</v>
      </c>
      <c r="BD35" s="55">
        <f t="shared" si="48"/>
        <v>0</v>
      </c>
      <c r="BE35" s="55">
        <v>0</v>
      </c>
      <c r="BF35" s="55">
        <f t="shared" si="49"/>
        <v>1.086875</v>
      </c>
      <c r="BH35" s="55">
        <f t="shared" si="50"/>
        <v>0</v>
      </c>
      <c r="BI35" s="55">
        <f t="shared" si="51"/>
        <v>0</v>
      </c>
      <c r="BJ35" s="55">
        <f t="shared" si="52"/>
        <v>0</v>
      </c>
      <c r="BK35" s="54" t="s">
        <v>161</v>
      </c>
      <c r="BL35" s="55">
        <v>767</v>
      </c>
      <c r="BW35" s="55">
        <f t="shared" si="53"/>
        <v>21</v>
      </c>
      <c r="BX35" s="16" t="s">
        <v>639</v>
      </c>
    </row>
    <row r="36" spans="1:76" ht="24" customHeight="1" x14ac:dyDescent="0.3">
      <c r="A36" s="105" t="s">
        <v>244</v>
      </c>
      <c r="B36" s="105" t="s">
        <v>112</v>
      </c>
      <c r="C36" s="105" t="s">
        <v>641</v>
      </c>
      <c r="D36" s="201" t="s">
        <v>642</v>
      </c>
      <c r="E36" s="201"/>
      <c r="F36" s="105" t="s">
        <v>212</v>
      </c>
      <c r="G36" s="107">
        <f>'Stavební rozpočet'!G201</f>
        <v>38</v>
      </c>
      <c r="H36" s="108">
        <f>'Stavební rozpočet'!H201</f>
        <v>0</v>
      </c>
      <c r="I36" s="109">
        <v>21</v>
      </c>
      <c r="J36" s="108">
        <f t="shared" si="28"/>
        <v>0</v>
      </c>
      <c r="K36" s="108">
        <f t="shared" si="29"/>
        <v>0</v>
      </c>
      <c r="L36" s="108">
        <f t="shared" si="30"/>
        <v>0</v>
      </c>
      <c r="M36" s="108">
        <f t="shared" si="31"/>
        <v>0</v>
      </c>
      <c r="N36" s="108">
        <f>'Stavební rozpočet'!N201</f>
        <v>1.7000000000000001E-2</v>
      </c>
      <c r="O36" s="108">
        <f t="shared" si="32"/>
        <v>0.64600000000000002</v>
      </c>
      <c r="P36" s="110" t="s">
        <v>156</v>
      </c>
      <c r="Z36" s="55">
        <f t="shared" si="33"/>
        <v>0</v>
      </c>
      <c r="AB36" s="55">
        <f t="shared" si="34"/>
        <v>0</v>
      </c>
      <c r="AC36" s="55">
        <f t="shared" si="35"/>
        <v>0</v>
      </c>
      <c r="AD36" s="55">
        <f t="shared" si="36"/>
        <v>0</v>
      </c>
      <c r="AE36" s="55">
        <f t="shared" si="37"/>
        <v>0</v>
      </c>
      <c r="AF36" s="55">
        <f t="shared" si="38"/>
        <v>0</v>
      </c>
      <c r="AG36" s="55">
        <f t="shared" si="39"/>
        <v>0</v>
      </c>
      <c r="AH36" s="55">
        <f t="shared" si="40"/>
        <v>0</v>
      </c>
      <c r="AI36" s="75" t="s">
        <v>112</v>
      </c>
      <c r="AJ36" s="111">
        <f t="shared" si="41"/>
        <v>0</v>
      </c>
      <c r="AK36" s="111">
        <f t="shared" si="42"/>
        <v>0</v>
      </c>
      <c r="AL36" s="111">
        <f t="shared" si="43"/>
        <v>0</v>
      </c>
      <c r="AN36" s="55">
        <v>21</v>
      </c>
      <c r="AO36" s="55">
        <f t="shared" ref="AO36:AO41" si="54">H36*1</f>
        <v>0</v>
      </c>
      <c r="AP36" s="55">
        <f t="shared" ref="AP36:AP41" si="55">H36*(1-1)</f>
        <v>0</v>
      </c>
      <c r="AQ36" s="112" t="s">
        <v>157</v>
      </c>
      <c r="AV36" s="55">
        <f t="shared" si="44"/>
        <v>0</v>
      </c>
      <c r="AW36" s="55">
        <f t="shared" si="45"/>
        <v>0</v>
      </c>
      <c r="AX36" s="55">
        <f t="shared" si="46"/>
        <v>0</v>
      </c>
      <c r="AY36" s="54" t="s">
        <v>271</v>
      </c>
      <c r="AZ36" s="54" t="s">
        <v>636</v>
      </c>
      <c r="BA36" s="75" t="s">
        <v>584</v>
      </c>
      <c r="BC36" s="55">
        <f t="shared" si="47"/>
        <v>0</v>
      </c>
      <c r="BD36" s="55">
        <f t="shared" si="48"/>
        <v>0</v>
      </c>
      <c r="BE36" s="55">
        <v>0</v>
      </c>
      <c r="BF36" s="55">
        <f t="shared" si="49"/>
        <v>0.64600000000000002</v>
      </c>
      <c r="BH36" s="111">
        <f t="shared" si="50"/>
        <v>0</v>
      </c>
      <c r="BI36" s="111">
        <f t="shared" si="51"/>
        <v>0</v>
      </c>
      <c r="BJ36" s="111">
        <f t="shared" si="52"/>
        <v>0</v>
      </c>
      <c r="BK36" s="112" t="s">
        <v>489</v>
      </c>
      <c r="BL36" s="55">
        <v>767</v>
      </c>
      <c r="BW36" s="55">
        <f t="shared" si="53"/>
        <v>21</v>
      </c>
      <c r="BX36" s="113" t="s">
        <v>642</v>
      </c>
    </row>
    <row r="37" spans="1:76" ht="24" customHeight="1" x14ac:dyDescent="0.3">
      <c r="A37" s="105" t="s">
        <v>250</v>
      </c>
      <c r="B37" s="105" t="s">
        <v>112</v>
      </c>
      <c r="C37" s="105" t="s">
        <v>644</v>
      </c>
      <c r="D37" s="201" t="s">
        <v>645</v>
      </c>
      <c r="E37" s="201"/>
      <c r="F37" s="105" t="s">
        <v>212</v>
      </c>
      <c r="G37" s="107">
        <f>'Stavební rozpočet'!G202</f>
        <v>2</v>
      </c>
      <c r="H37" s="108">
        <f>'Stavební rozpočet'!H202</f>
        <v>0</v>
      </c>
      <c r="I37" s="109">
        <v>21</v>
      </c>
      <c r="J37" s="108">
        <f t="shared" si="28"/>
        <v>0</v>
      </c>
      <c r="K37" s="108">
        <f t="shared" si="29"/>
        <v>0</v>
      </c>
      <c r="L37" s="108">
        <f t="shared" si="30"/>
        <v>0</v>
      </c>
      <c r="M37" s="108">
        <f t="shared" si="31"/>
        <v>0</v>
      </c>
      <c r="N37" s="108">
        <f>'Stavební rozpočet'!N202</f>
        <v>9.4999999999999998E-3</v>
      </c>
      <c r="O37" s="108">
        <f t="shared" si="32"/>
        <v>1.9E-2</v>
      </c>
      <c r="P37" s="110" t="s">
        <v>156</v>
      </c>
      <c r="Z37" s="55">
        <f t="shared" si="33"/>
        <v>0</v>
      </c>
      <c r="AB37" s="55">
        <f t="shared" si="34"/>
        <v>0</v>
      </c>
      <c r="AC37" s="55">
        <f t="shared" si="35"/>
        <v>0</v>
      </c>
      <c r="AD37" s="55">
        <f t="shared" si="36"/>
        <v>0</v>
      </c>
      <c r="AE37" s="55">
        <f t="shared" si="37"/>
        <v>0</v>
      </c>
      <c r="AF37" s="55">
        <f t="shared" si="38"/>
        <v>0</v>
      </c>
      <c r="AG37" s="55">
        <f t="shared" si="39"/>
        <v>0</v>
      </c>
      <c r="AH37" s="55">
        <f t="shared" si="40"/>
        <v>0</v>
      </c>
      <c r="AI37" s="75" t="s">
        <v>112</v>
      </c>
      <c r="AJ37" s="111">
        <f t="shared" si="41"/>
        <v>0</v>
      </c>
      <c r="AK37" s="111">
        <f t="shared" si="42"/>
        <v>0</v>
      </c>
      <c r="AL37" s="111">
        <f t="shared" si="43"/>
        <v>0</v>
      </c>
      <c r="AN37" s="55">
        <v>21</v>
      </c>
      <c r="AO37" s="55">
        <f t="shared" si="54"/>
        <v>0</v>
      </c>
      <c r="AP37" s="55">
        <f t="shared" si="55"/>
        <v>0</v>
      </c>
      <c r="AQ37" s="112" t="s">
        <v>157</v>
      </c>
      <c r="AV37" s="55">
        <f t="shared" si="44"/>
        <v>0</v>
      </c>
      <c r="AW37" s="55">
        <f t="shared" si="45"/>
        <v>0</v>
      </c>
      <c r="AX37" s="55">
        <f t="shared" si="46"/>
        <v>0</v>
      </c>
      <c r="AY37" s="54" t="s">
        <v>271</v>
      </c>
      <c r="AZ37" s="54" t="s">
        <v>636</v>
      </c>
      <c r="BA37" s="75" t="s">
        <v>584</v>
      </c>
      <c r="BC37" s="55">
        <f t="shared" si="47"/>
        <v>0</v>
      </c>
      <c r="BD37" s="55">
        <f t="shared" si="48"/>
        <v>0</v>
      </c>
      <c r="BE37" s="55">
        <v>0</v>
      </c>
      <c r="BF37" s="55">
        <f t="shared" si="49"/>
        <v>1.9E-2</v>
      </c>
      <c r="BH37" s="111">
        <f t="shared" si="50"/>
        <v>0</v>
      </c>
      <c r="BI37" s="111">
        <f t="shared" si="51"/>
        <v>0</v>
      </c>
      <c r="BJ37" s="111">
        <f t="shared" si="52"/>
        <v>0</v>
      </c>
      <c r="BK37" s="112" t="s">
        <v>489</v>
      </c>
      <c r="BL37" s="55">
        <v>767</v>
      </c>
      <c r="BW37" s="55">
        <f t="shared" si="53"/>
        <v>21</v>
      </c>
      <c r="BX37" s="113" t="s">
        <v>645</v>
      </c>
    </row>
    <row r="38" spans="1:76" ht="24" customHeight="1" x14ac:dyDescent="0.3">
      <c r="A38" s="105" t="s">
        <v>254</v>
      </c>
      <c r="B38" s="105" t="s">
        <v>112</v>
      </c>
      <c r="C38" s="105" t="s">
        <v>647</v>
      </c>
      <c r="D38" s="201" t="s">
        <v>648</v>
      </c>
      <c r="E38" s="201"/>
      <c r="F38" s="105" t="s">
        <v>212</v>
      </c>
      <c r="G38" s="107">
        <f>'Stavební rozpočet'!G203</f>
        <v>40</v>
      </c>
      <c r="H38" s="108">
        <f>'Stavební rozpočet'!H203</f>
        <v>0</v>
      </c>
      <c r="I38" s="109">
        <v>21</v>
      </c>
      <c r="J38" s="108">
        <f t="shared" si="28"/>
        <v>0</v>
      </c>
      <c r="K38" s="108">
        <f t="shared" si="29"/>
        <v>0</v>
      </c>
      <c r="L38" s="108">
        <f t="shared" si="30"/>
        <v>0</v>
      </c>
      <c r="M38" s="108">
        <f t="shared" si="31"/>
        <v>0</v>
      </c>
      <c r="N38" s="108">
        <f>'Stavební rozpočet'!N203</f>
        <v>2.6499999999999999E-2</v>
      </c>
      <c r="O38" s="108">
        <f t="shared" si="32"/>
        <v>1.06</v>
      </c>
      <c r="P38" s="110" t="s">
        <v>156</v>
      </c>
      <c r="Z38" s="55">
        <f t="shared" si="33"/>
        <v>0</v>
      </c>
      <c r="AB38" s="55">
        <f t="shared" si="34"/>
        <v>0</v>
      </c>
      <c r="AC38" s="55">
        <f t="shared" si="35"/>
        <v>0</v>
      </c>
      <c r="AD38" s="55">
        <f t="shared" si="36"/>
        <v>0</v>
      </c>
      <c r="AE38" s="55">
        <f t="shared" si="37"/>
        <v>0</v>
      </c>
      <c r="AF38" s="55">
        <f t="shared" si="38"/>
        <v>0</v>
      </c>
      <c r="AG38" s="55">
        <f t="shared" si="39"/>
        <v>0</v>
      </c>
      <c r="AH38" s="55">
        <f t="shared" si="40"/>
        <v>0</v>
      </c>
      <c r="AI38" s="75" t="s">
        <v>112</v>
      </c>
      <c r="AJ38" s="111">
        <f t="shared" si="41"/>
        <v>0</v>
      </c>
      <c r="AK38" s="111">
        <f t="shared" si="42"/>
        <v>0</v>
      </c>
      <c r="AL38" s="111">
        <f t="shared" si="43"/>
        <v>0</v>
      </c>
      <c r="AN38" s="55">
        <v>21</v>
      </c>
      <c r="AO38" s="55">
        <f t="shared" si="54"/>
        <v>0</v>
      </c>
      <c r="AP38" s="55">
        <f t="shared" si="55"/>
        <v>0</v>
      </c>
      <c r="AQ38" s="112" t="s">
        <v>157</v>
      </c>
      <c r="AV38" s="55">
        <f t="shared" si="44"/>
        <v>0</v>
      </c>
      <c r="AW38" s="55">
        <f t="shared" si="45"/>
        <v>0</v>
      </c>
      <c r="AX38" s="55">
        <f t="shared" si="46"/>
        <v>0</v>
      </c>
      <c r="AY38" s="54" t="s">
        <v>271</v>
      </c>
      <c r="AZ38" s="54" t="s">
        <v>636</v>
      </c>
      <c r="BA38" s="75" t="s">
        <v>584</v>
      </c>
      <c r="BC38" s="55">
        <f t="shared" si="47"/>
        <v>0</v>
      </c>
      <c r="BD38" s="55">
        <f t="shared" si="48"/>
        <v>0</v>
      </c>
      <c r="BE38" s="55">
        <v>0</v>
      </c>
      <c r="BF38" s="55">
        <f t="shared" si="49"/>
        <v>1.06</v>
      </c>
      <c r="BH38" s="111">
        <f t="shared" si="50"/>
        <v>0</v>
      </c>
      <c r="BI38" s="111">
        <f t="shared" si="51"/>
        <v>0</v>
      </c>
      <c r="BJ38" s="111">
        <f t="shared" si="52"/>
        <v>0</v>
      </c>
      <c r="BK38" s="112" t="s">
        <v>489</v>
      </c>
      <c r="BL38" s="55">
        <v>767</v>
      </c>
      <c r="BW38" s="55">
        <f t="shared" si="53"/>
        <v>21</v>
      </c>
      <c r="BX38" s="113" t="s">
        <v>648</v>
      </c>
    </row>
    <row r="39" spans="1:76" ht="24" customHeight="1" x14ac:dyDescent="0.3">
      <c r="A39" s="105" t="s">
        <v>257</v>
      </c>
      <c r="B39" s="105" t="s">
        <v>112</v>
      </c>
      <c r="C39" s="105" t="s">
        <v>650</v>
      </c>
      <c r="D39" s="201" t="s">
        <v>651</v>
      </c>
      <c r="E39" s="201"/>
      <c r="F39" s="105" t="s">
        <v>212</v>
      </c>
      <c r="G39" s="107">
        <f>'Stavební rozpočet'!G204</f>
        <v>1</v>
      </c>
      <c r="H39" s="108">
        <f>'Stavební rozpočet'!H204</f>
        <v>0</v>
      </c>
      <c r="I39" s="109">
        <v>21</v>
      </c>
      <c r="J39" s="108">
        <f t="shared" si="28"/>
        <v>0</v>
      </c>
      <c r="K39" s="108">
        <f t="shared" si="29"/>
        <v>0</v>
      </c>
      <c r="L39" s="108">
        <f t="shared" si="30"/>
        <v>0</v>
      </c>
      <c r="M39" s="108">
        <f t="shared" si="31"/>
        <v>0</v>
      </c>
      <c r="N39" s="108">
        <f>'Stavební rozpočet'!N204</f>
        <v>2.0000000000000001E-4</v>
      </c>
      <c r="O39" s="108">
        <f t="shared" si="32"/>
        <v>2.0000000000000001E-4</v>
      </c>
      <c r="P39" s="110" t="s">
        <v>156</v>
      </c>
      <c r="Z39" s="55">
        <f t="shared" si="33"/>
        <v>0</v>
      </c>
      <c r="AB39" s="55">
        <f t="shared" si="34"/>
        <v>0</v>
      </c>
      <c r="AC39" s="55">
        <f t="shared" si="35"/>
        <v>0</v>
      </c>
      <c r="AD39" s="55">
        <f t="shared" si="36"/>
        <v>0</v>
      </c>
      <c r="AE39" s="55">
        <f t="shared" si="37"/>
        <v>0</v>
      </c>
      <c r="AF39" s="55">
        <f t="shared" si="38"/>
        <v>0</v>
      </c>
      <c r="AG39" s="55">
        <f t="shared" si="39"/>
        <v>0</v>
      </c>
      <c r="AH39" s="55">
        <f t="shared" si="40"/>
        <v>0</v>
      </c>
      <c r="AI39" s="75" t="s">
        <v>112</v>
      </c>
      <c r="AJ39" s="111">
        <f t="shared" si="41"/>
        <v>0</v>
      </c>
      <c r="AK39" s="111">
        <f t="shared" si="42"/>
        <v>0</v>
      </c>
      <c r="AL39" s="111">
        <f t="shared" si="43"/>
        <v>0</v>
      </c>
      <c r="AN39" s="55">
        <v>21</v>
      </c>
      <c r="AO39" s="55">
        <f t="shared" si="54"/>
        <v>0</v>
      </c>
      <c r="AP39" s="55">
        <f t="shared" si="55"/>
        <v>0</v>
      </c>
      <c r="AQ39" s="112" t="s">
        <v>157</v>
      </c>
      <c r="AV39" s="55">
        <f t="shared" si="44"/>
        <v>0</v>
      </c>
      <c r="AW39" s="55">
        <f t="shared" si="45"/>
        <v>0</v>
      </c>
      <c r="AX39" s="55">
        <f t="shared" si="46"/>
        <v>0</v>
      </c>
      <c r="AY39" s="54" t="s">
        <v>271</v>
      </c>
      <c r="AZ39" s="54" t="s">
        <v>636</v>
      </c>
      <c r="BA39" s="75" t="s">
        <v>584</v>
      </c>
      <c r="BC39" s="55">
        <f t="shared" si="47"/>
        <v>0</v>
      </c>
      <c r="BD39" s="55">
        <f t="shared" si="48"/>
        <v>0</v>
      </c>
      <c r="BE39" s="55">
        <v>0</v>
      </c>
      <c r="BF39" s="55">
        <f t="shared" si="49"/>
        <v>2.0000000000000001E-4</v>
      </c>
      <c r="BH39" s="111">
        <f t="shared" si="50"/>
        <v>0</v>
      </c>
      <c r="BI39" s="111">
        <f t="shared" si="51"/>
        <v>0</v>
      </c>
      <c r="BJ39" s="111">
        <f t="shared" si="52"/>
        <v>0</v>
      </c>
      <c r="BK39" s="112" t="s">
        <v>489</v>
      </c>
      <c r="BL39" s="55">
        <v>767</v>
      </c>
      <c r="BW39" s="55">
        <f t="shared" si="53"/>
        <v>21</v>
      </c>
      <c r="BX39" s="113" t="s">
        <v>651</v>
      </c>
    </row>
    <row r="40" spans="1:76" ht="24" customHeight="1" x14ac:dyDescent="0.3">
      <c r="A40" s="105" t="s">
        <v>260</v>
      </c>
      <c r="B40" s="105" t="s">
        <v>112</v>
      </c>
      <c r="C40" s="105" t="s">
        <v>653</v>
      </c>
      <c r="D40" s="201" t="s">
        <v>654</v>
      </c>
      <c r="E40" s="201"/>
      <c r="F40" s="105" t="s">
        <v>212</v>
      </c>
      <c r="G40" s="107">
        <f>'Stavební rozpočet'!G205</f>
        <v>80</v>
      </c>
      <c r="H40" s="108">
        <f>'Stavební rozpočet'!H205</f>
        <v>0</v>
      </c>
      <c r="I40" s="109">
        <v>21</v>
      </c>
      <c r="J40" s="108">
        <f t="shared" si="28"/>
        <v>0</v>
      </c>
      <c r="K40" s="108">
        <f t="shared" si="29"/>
        <v>0</v>
      </c>
      <c r="L40" s="108">
        <f t="shared" si="30"/>
        <v>0</v>
      </c>
      <c r="M40" s="108">
        <f t="shared" si="31"/>
        <v>0</v>
      </c>
      <c r="N40" s="108">
        <f>'Stavební rozpočet'!N205</f>
        <v>5.0000000000000001E-4</v>
      </c>
      <c r="O40" s="108">
        <f t="shared" si="32"/>
        <v>0.04</v>
      </c>
      <c r="P40" s="110" t="s">
        <v>156</v>
      </c>
      <c r="Z40" s="55">
        <f t="shared" si="33"/>
        <v>0</v>
      </c>
      <c r="AB40" s="55">
        <f t="shared" si="34"/>
        <v>0</v>
      </c>
      <c r="AC40" s="55">
        <f t="shared" si="35"/>
        <v>0</v>
      </c>
      <c r="AD40" s="55">
        <f t="shared" si="36"/>
        <v>0</v>
      </c>
      <c r="AE40" s="55">
        <f t="shared" si="37"/>
        <v>0</v>
      </c>
      <c r="AF40" s="55">
        <f t="shared" si="38"/>
        <v>0</v>
      </c>
      <c r="AG40" s="55">
        <f t="shared" si="39"/>
        <v>0</v>
      </c>
      <c r="AH40" s="55">
        <f t="shared" si="40"/>
        <v>0</v>
      </c>
      <c r="AI40" s="75" t="s">
        <v>112</v>
      </c>
      <c r="AJ40" s="111">
        <f t="shared" si="41"/>
        <v>0</v>
      </c>
      <c r="AK40" s="111">
        <f t="shared" si="42"/>
        <v>0</v>
      </c>
      <c r="AL40" s="111">
        <f t="shared" si="43"/>
        <v>0</v>
      </c>
      <c r="AN40" s="55">
        <v>21</v>
      </c>
      <c r="AO40" s="55">
        <f t="shared" si="54"/>
        <v>0</v>
      </c>
      <c r="AP40" s="55">
        <f t="shared" si="55"/>
        <v>0</v>
      </c>
      <c r="AQ40" s="112" t="s">
        <v>157</v>
      </c>
      <c r="AV40" s="55">
        <f t="shared" si="44"/>
        <v>0</v>
      </c>
      <c r="AW40" s="55">
        <f t="shared" si="45"/>
        <v>0</v>
      </c>
      <c r="AX40" s="55">
        <f t="shared" si="46"/>
        <v>0</v>
      </c>
      <c r="AY40" s="54" t="s">
        <v>271</v>
      </c>
      <c r="AZ40" s="54" t="s">
        <v>636</v>
      </c>
      <c r="BA40" s="75" t="s">
        <v>584</v>
      </c>
      <c r="BC40" s="55">
        <f t="shared" si="47"/>
        <v>0</v>
      </c>
      <c r="BD40" s="55">
        <f t="shared" si="48"/>
        <v>0</v>
      </c>
      <c r="BE40" s="55">
        <v>0</v>
      </c>
      <c r="BF40" s="55">
        <f t="shared" si="49"/>
        <v>0.04</v>
      </c>
      <c r="BH40" s="111">
        <f t="shared" si="50"/>
        <v>0</v>
      </c>
      <c r="BI40" s="111">
        <f t="shared" si="51"/>
        <v>0</v>
      </c>
      <c r="BJ40" s="111">
        <f t="shared" si="52"/>
        <v>0</v>
      </c>
      <c r="BK40" s="112" t="s">
        <v>489</v>
      </c>
      <c r="BL40" s="55">
        <v>767</v>
      </c>
      <c r="BW40" s="55">
        <f t="shared" si="53"/>
        <v>21</v>
      </c>
      <c r="BX40" s="113" t="s">
        <v>654</v>
      </c>
    </row>
    <row r="41" spans="1:76" ht="24" customHeight="1" x14ac:dyDescent="0.3">
      <c r="A41" s="105" t="s">
        <v>263</v>
      </c>
      <c r="B41" s="105" t="s">
        <v>112</v>
      </c>
      <c r="C41" s="105" t="s">
        <v>656</v>
      </c>
      <c r="D41" s="201" t="s">
        <v>657</v>
      </c>
      <c r="E41" s="201"/>
      <c r="F41" s="105" t="s">
        <v>212</v>
      </c>
      <c r="G41" s="107">
        <f>'Stavební rozpočet'!G206</f>
        <v>4</v>
      </c>
      <c r="H41" s="108">
        <f>'Stavební rozpočet'!H206</f>
        <v>0</v>
      </c>
      <c r="I41" s="109">
        <v>21</v>
      </c>
      <c r="J41" s="108">
        <f t="shared" si="28"/>
        <v>0</v>
      </c>
      <c r="K41" s="108">
        <f t="shared" si="29"/>
        <v>0</v>
      </c>
      <c r="L41" s="108">
        <f t="shared" si="30"/>
        <v>0</v>
      </c>
      <c r="M41" s="108">
        <f t="shared" si="31"/>
        <v>0</v>
      </c>
      <c r="N41" s="108">
        <f>'Stavební rozpočet'!N206</f>
        <v>1E-3</v>
      </c>
      <c r="O41" s="108">
        <f t="shared" si="32"/>
        <v>4.0000000000000001E-3</v>
      </c>
      <c r="P41" s="110" t="s">
        <v>156</v>
      </c>
      <c r="Z41" s="55">
        <f t="shared" si="33"/>
        <v>0</v>
      </c>
      <c r="AB41" s="55">
        <f t="shared" si="34"/>
        <v>0</v>
      </c>
      <c r="AC41" s="55">
        <f t="shared" si="35"/>
        <v>0</v>
      </c>
      <c r="AD41" s="55">
        <f t="shared" si="36"/>
        <v>0</v>
      </c>
      <c r="AE41" s="55">
        <f t="shared" si="37"/>
        <v>0</v>
      </c>
      <c r="AF41" s="55">
        <f t="shared" si="38"/>
        <v>0</v>
      </c>
      <c r="AG41" s="55">
        <f t="shared" si="39"/>
        <v>0</v>
      </c>
      <c r="AH41" s="55">
        <f t="shared" si="40"/>
        <v>0</v>
      </c>
      <c r="AI41" s="75" t="s">
        <v>112</v>
      </c>
      <c r="AJ41" s="111">
        <f t="shared" si="41"/>
        <v>0</v>
      </c>
      <c r="AK41" s="111">
        <f t="shared" si="42"/>
        <v>0</v>
      </c>
      <c r="AL41" s="111">
        <f t="shared" si="43"/>
        <v>0</v>
      </c>
      <c r="AN41" s="55">
        <v>21</v>
      </c>
      <c r="AO41" s="55">
        <f t="shared" si="54"/>
        <v>0</v>
      </c>
      <c r="AP41" s="55">
        <f t="shared" si="55"/>
        <v>0</v>
      </c>
      <c r="AQ41" s="112" t="s">
        <v>157</v>
      </c>
      <c r="AV41" s="55">
        <f t="shared" si="44"/>
        <v>0</v>
      </c>
      <c r="AW41" s="55">
        <f t="shared" si="45"/>
        <v>0</v>
      </c>
      <c r="AX41" s="55">
        <f t="shared" si="46"/>
        <v>0</v>
      </c>
      <c r="AY41" s="54" t="s">
        <v>271</v>
      </c>
      <c r="AZ41" s="54" t="s">
        <v>636</v>
      </c>
      <c r="BA41" s="75" t="s">
        <v>584</v>
      </c>
      <c r="BC41" s="55">
        <f t="shared" si="47"/>
        <v>0</v>
      </c>
      <c r="BD41" s="55">
        <f t="shared" si="48"/>
        <v>0</v>
      </c>
      <c r="BE41" s="55">
        <v>0</v>
      </c>
      <c r="BF41" s="55">
        <f t="shared" si="49"/>
        <v>4.0000000000000001E-3</v>
      </c>
      <c r="BH41" s="111">
        <f t="shared" si="50"/>
        <v>0</v>
      </c>
      <c r="BI41" s="111">
        <f t="shared" si="51"/>
        <v>0</v>
      </c>
      <c r="BJ41" s="111">
        <f t="shared" si="52"/>
        <v>0</v>
      </c>
      <c r="BK41" s="112" t="s">
        <v>489</v>
      </c>
      <c r="BL41" s="55">
        <v>767</v>
      </c>
      <c r="BW41" s="55">
        <f t="shared" si="53"/>
        <v>21</v>
      </c>
      <c r="BX41" s="113" t="s">
        <v>657</v>
      </c>
    </row>
    <row r="42" spans="1:76" ht="15" customHeight="1" x14ac:dyDescent="0.3">
      <c r="A42" s="94" t="s">
        <v>268</v>
      </c>
      <c r="B42" s="94" t="s">
        <v>112</v>
      </c>
      <c r="C42" s="94" t="s">
        <v>659</v>
      </c>
      <c r="D42" s="199" t="s">
        <v>660</v>
      </c>
      <c r="E42" s="199"/>
      <c r="F42" s="94" t="s">
        <v>323</v>
      </c>
      <c r="G42" s="96">
        <f>'Stavební rozpočet'!G207</f>
        <v>2.8559999999999999</v>
      </c>
      <c r="H42" s="97">
        <f>'Stavební rozpočet'!H207</f>
        <v>0</v>
      </c>
      <c r="I42" s="98">
        <v>21</v>
      </c>
      <c r="J42" s="97">
        <f t="shared" si="28"/>
        <v>0</v>
      </c>
      <c r="K42" s="97">
        <f t="shared" si="29"/>
        <v>0</v>
      </c>
      <c r="L42" s="97">
        <f t="shared" si="30"/>
        <v>0</v>
      </c>
      <c r="M42" s="97">
        <f t="shared" si="31"/>
        <v>0</v>
      </c>
      <c r="N42" s="97">
        <f>'Stavební rozpočet'!N207</f>
        <v>0</v>
      </c>
      <c r="O42" s="97">
        <f t="shared" si="32"/>
        <v>0</v>
      </c>
      <c r="P42" s="99" t="s">
        <v>156</v>
      </c>
      <c r="Z42" s="55">
        <f t="shared" si="33"/>
        <v>0</v>
      </c>
      <c r="AB42" s="55">
        <f t="shared" si="34"/>
        <v>0</v>
      </c>
      <c r="AC42" s="55">
        <f t="shared" si="35"/>
        <v>0</v>
      </c>
      <c r="AD42" s="55">
        <f t="shared" si="36"/>
        <v>0</v>
      </c>
      <c r="AE42" s="55">
        <f t="shared" si="37"/>
        <v>0</v>
      </c>
      <c r="AF42" s="55">
        <f t="shared" si="38"/>
        <v>0</v>
      </c>
      <c r="AG42" s="55">
        <f t="shared" si="39"/>
        <v>0</v>
      </c>
      <c r="AH42" s="55">
        <f t="shared" si="40"/>
        <v>0</v>
      </c>
      <c r="AI42" s="75" t="s">
        <v>112</v>
      </c>
      <c r="AJ42" s="55">
        <f t="shared" si="41"/>
        <v>0</v>
      </c>
      <c r="AK42" s="55">
        <f t="shared" si="42"/>
        <v>0</v>
      </c>
      <c r="AL42" s="55">
        <f t="shared" si="43"/>
        <v>0</v>
      </c>
      <c r="AN42" s="55">
        <v>21</v>
      </c>
      <c r="AO42" s="55">
        <f>H42*0</f>
        <v>0</v>
      </c>
      <c r="AP42" s="55">
        <f>H42*(1-0)</f>
        <v>0</v>
      </c>
      <c r="AQ42" s="54" t="s">
        <v>179</v>
      </c>
      <c r="AV42" s="55">
        <f t="shared" si="44"/>
        <v>0</v>
      </c>
      <c r="AW42" s="55">
        <f t="shared" si="45"/>
        <v>0</v>
      </c>
      <c r="AX42" s="55">
        <f t="shared" si="46"/>
        <v>0</v>
      </c>
      <c r="AY42" s="54" t="s">
        <v>271</v>
      </c>
      <c r="AZ42" s="54" t="s">
        <v>636</v>
      </c>
      <c r="BA42" s="75" t="s">
        <v>584</v>
      </c>
      <c r="BC42" s="55">
        <f t="shared" si="47"/>
        <v>0</v>
      </c>
      <c r="BD42" s="55">
        <f t="shared" si="48"/>
        <v>0</v>
      </c>
      <c r="BE42" s="55">
        <v>0</v>
      </c>
      <c r="BF42" s="55">
        <f t="shared" si="49"/>
        <v>0</v>
      </c>
      <c r="BH42" s="55">
        <f t="shared" si="50"/>
        <v>0</v>
      </c>
      <c r="BI42" s="55">
        <f t="shared" si="51"/>
        <v>0</v>
      </c>
      <c r="BJ42" s="55">
        <f t="shared" si="52"/>
        <v>0</v>
      </c>
      <c r="BK42" s="54" t="s">
        <v>161</v>
      </c>
      <c r="BL42" s="55">
        <v>767</v>
      </c>
      <c r="BW42" s="55">
        <f t="shared" si="53"/>
        <v>21</v>
      </c>
      <c r="BX42" s="16" t="s">
        <v>660</v>
      </c>
    </row>
    <row r="43" spans="1:76" ht="15" customHeight="1" x14ac:dyDescent="0.3">
      <c r="A43" s="88"/>
      <c r="B43" s="89" t="s">
        <v>112</v>
      </c>
      <c r="C43" s="89" t="s">
        <v>661</v>
      </c>
      <c r="D43" s="198" t="s">
        <v>662</v>
      </c>
      <c r="E43" s="198"/>
      <c r="F43" s="88" t="s">
        <v>96</v>
      </c>
      <c r="G43" s="90" t="s">
        <v>96</v>
      </c>
      <c r="H43" s="88" t="s">
        <v>96</v>
      </c>
      <c r="I43" s="88" t="s">
        <v>96</v>
      </c>
      <c r="J43" s="91">
        <f>SUM(J44:J47)</f>
        <v>0</v>
      </c>
      <c r="K43" s="91">
        <f>SUM(K44:K47)</f>
        <v>0</v>
      </c>
      <c r="L43" s="91">
        <f>SUM(L44:L47)</f>
        <v>0</v>
      </c>
      <c r="M43" s="91">
        <f>SUM(M44:M47)</f>
        <v>0</v>
      </c>
      <c r="N43" s="92"/>
      <c r="O43" s="91">
        <f>SUM(O44:O47)</f>
        <v>0</v>
      </c>
      <c r="P43" s="92"/>
      <c r="AI43" s="75" t="s">
        <v>112</v>
      </c>
      <c r="AS43" s="68">
        <f>SUM(AJ44:AJ47)</f>
        <v>0</v>
      </c>
      <c r="AT43" s="68">
        <f>SUM(AK44:AK47)</f>
        <v>0</v>
      </c>
      <c r="AU43" s="68">
        <f>SUM(AL44:AL47)</f>
        <v>0</v>
      </c>
    </row>
    <row r="44" spans="1:76" ht="15" customHeight="1" x14ac:dyDescent="0.3">
      <c r="A44" s="94" t="s">
        <v>272</v>
      </c>
      <c r="B44" s="94" t="s">
        <v>112</v>
      </c>
      <c r="C44" s="94" t="s">
        <v>664</v>
      </c>
      <c r="D44" s="199" t="s">
        <v>665</v>
      </c>
      <c r="E44" s="199"/>
      <c r="F44" s="94" t="s">
        <v>323</v>
      </c>
      <c r="G44" s="96">
        <f>'Stavební rozpočet'!G209</f>
        <v>5.25</v>
      </c>
      <c r="H44" s="97">
        <f>'Stavební rozpočet'!H209</f>
        <v>0</v>
      </c>
      <c r="I44" s="98">
        <v>21</v>
      </c>
      <c r="J44" s="97">
        <f>ROUND(G44*AO44,2)</f>
        <v>0</v>
      </c>
      <c r="K44" s="97">
        <f>ROUND(G44*AP44,2)</f>
        <v>0</v>
      </c>
      <c r="L44" s="97">
        <f>ROUND(G44*H44,2)</f>
        <v>0</v>
      </c>
      <c r="M44" s="97">
        <f>L44*(1+BW44/100)</f>
        <v>0</v>
      </c>
      <c r="N44" s="97">
        <f>'Stavební rozpočet'!N209</f>
        <v>0</v>
      </c>
      <c r="O44" s="97">
        <f>G44*N44</f>
        <v>0</v>
      </c>
      <c r="P44" s="99" t="s">
        <v>156</v>
      </c>
      <c r="Z44" s="55">
        <f>ROUND(IF(AQ44="5",BJ44,0),2)</f>
        <v>0</v>
      </c>
      <c r="AB44" s="55">
        <f>ROUND(IF(AQ44="1",BH44,0),2)</f>
        <v>0</v>
      </c>
      <c r="AC44" s="55">
        <f>ROUND(IF(AQ44="1",BI44,0),2)</f>
        <v>0</v>
      </c>
      <c r="AD44" s="55">
        <f>ROUND(IF(AQ44="7",BH44,0),2)</f>
        <v>0</v>
      </c>
      <c r="AE44" s="55">
        <f>ROUND(IF(AQ44="7",BI44,0),2)</f>
        <v>0</v>
      </c>
      <c r="AF44" s="55">
        <f>ROUND(IF(AQ44="2",BH44,0),2)</f>
        <v>0</v>
      </c>
      <c r="AG44" s="55">
        <f>ROUND(IF(AQ44="2",BI44,0),2)</f>
        <v>0</v>
      </c>
      <c r="AH44" s="55">
        <f>ROUND(IF(AQ44="0",BJ44,0),2)</f>
        <v>0</v>
      </c>
      <c r="AI44" s="75" t="s">
        <v>112</v>
      </c>
      <c r="AJ44" s="55">
        <f>IF(AN44=0,L44,0)</f>
        <v>0</v>
      </c>
      <c r="AK44" s="55">
        <f>IF(AN44=12,L44,0)</f>
        <v>0</v>
      </c>
      <c r="AL44" s="55">
        <f>IF(AN44=21,L44,0)</f>
        <v>0</v>
      </c>
      <c r="AN44" s="55">
        <v>21</v>
      </c>
      <c r="AO44" s="55">
        <f>H44*0</f>
        <v>0</v>
      </c>
      <c r="AP44" s="55">
        <f>H44*(1-0)</f>
        <v>0</v>
      </c>
      <c r="AQ44" s="54" t="s">
        <v>179</v>
      </c>
      <c r="AV44" s="55">
        <f>ROUND(AW44+AX44,2)</f>
        <v>0</v>
      </c>
      <c r="AW44" s="55">
        <f>ROUND(G44*AO44,2)</f>
        <v>0</v>
      </c>
      <c r="AX44" s="55">
        <f>ROUND(G44*AP44,2)</f>
        <v>0</v>
      </c>
      <c r="AY44" s="54" t="s">
        <v>666</v>
      </c>
      <c r="AZ44" s="54" t="s">
        <v>667</v>
      </c>
      <c r="BA44" s="75" t="s">
        <v>584</v>
      </c>
      <c r="BC44" s="55">
        <f>AW44+AX44</f>
        <v>0</v>
      </c>
      <c r="BD44" s="55">
        <f>H44/(100-BE44)*100</f>
        <v>0</v>
      </c>
      <c r="BE44" s="55">
        <v>0</v>
      </c>
      <c r="BF44" s="55">
        <f>O44</f>
        <v>0</v>
      </c>
      <c r="BH44" s="55">
        <f>G44*AO44</f>
        <v>0</v>
      </c>
      <c r="BI44" s="55">
        <f>G44*AP44</f>
        <v>0</v>
      </c>
      <c r="BJ44" s="55">
        <f>G44*H44</f>
        <v>0</v>
      </c>
      <c r="BK44" s="54" t="s">
        <v>161</v>
      </c>
      <c r="BL44" s="55"/>
      <c r="BW44" s="55">
        <f>I44</f>
        <v>21</v>
      </c>
      <c r="BX44" s="16" t="s">
        <v>665</v>
      </c>
    </row>
    <row r="45" spans="1:76" ht="15" customHeight="1" x14ac:dyDescent="0.3">
      <c r="A45" s="94" t="s">
        <v>277</v>
      </c>
      <c r="B45" s="94" t="s">
        <v>112</v>
      </c>
      <c r="C45" s="94" t="s">
        <v>669</v>
      </c>
      <c r="D45" s="199" t="s">
        <v>670</v>
      </c>
      <c r="E45" s="199"/>
      <c r="F45" s="94" t="s">
        <v>323</v>
      </c>
      <c r="G45" s="96">
        <f>'Stavební rozpočet'!G210</f>
        <v>52.5</v>
      </c>
      <c r="H45" s="97">
        <f>'Stavební rozpočet'!H210</f>
        <v>0</v>
      </c>
      <c r="I45" s="98">
        <v>21</v>
      </c>
      <c r="J45" s="97">
        <f>ROUND(G45*AO45,2)</f>
        <v>0</v>
      </c>
      <c r="K45" s="97">
        <f>ROUND(G45*AP45,2)</f>
        <v>0</v>
      </c>
      <c r="L45" s="97">
        <f>ROUND(G45*H45,2)</f>
        <v>0</v>
      </c>
      <c r="M45" s="97">
        <f>L45*(1+BW45/100)</f>
        <v>0</v>
      </c>
      <c r="N45" s="97">
        <f>'Stavební rozpočet'!N210</f>
        <v>0</v>
      </c>
      <c r="O45" s="97">
        <f>G45*N45</f>
        <v>0</v>
      </c>
      <c r="P45" s="99" t="s">
        <v>156</v>
      </c>
      <c r="Z45" s="55">
        <f>ROUND(IF(AQ45="5",BJ45,0),2)</f>
        <v>0</v>
      </c>
      <c r="AB45" s="55">
        <f>ROUND(IF(AQ45="1",BH45,0),2)</f>
        <v>0</v>
      </c>
      <c r="AC45" s="55">
        <f>ROUND(IF(AQ45="1",BI45,0),2)</f>
        <v>0</v>
      </c>
      <c r="AD45" s="55">
        <f>ROUND(IF(AQ45="7",BH45,0),2)</f>
        <v>0</v>
      </c>
      <c r="AE45" s="55">
        <f>ROUND(IF(AQ45="7",BI45,0),2)</f>
        <v>0</v>
      </c>
      <c r="AF45" s="55">
        <f>ROUND(IF(AQ45="2",BH45,0),2)</f>
        <v>0</v>
      </c>
      <c r="AG45" s="55">
        <f>ROUND(IF(AQ45="2",BI45,0),2)</f>
        <v>0</v>
      </c>
      <c r="AH45" s="55">
        <f>ROUND(IF(AQ45="0",BJ45,0),2)</f>
        <v>0</v>
      </c>
      <c r="AI45" s="75" t="s">
        <v>112</v>
      </c>
      <c r="AJ45" s="55">
        <f>IF(AN45=0,L45,0)</f>
        <v>0</v>
      </c>
      <c r="AK45" s="55">
        <f>IF(AN45=12,L45,0)</f>
        <v>0</v>
      </c>
      <c r="AL45" s="55">
        <f>IF(AN45=21,L45,0)</f>
        <v>0</v>
      </c>
      <c r="AN45" s="55">
        <v>21</v>
      </c>
      <c r="AO45" s="55">
        <f>H45*0</f>
        <v>0</v>
      </c>
      <c r="AP45" s="55">
        <f>H45*(1-0)</f>
        <v>0</v>
      </c>
      <c r="AQ45" s="54" t="s">
        <v>179</v>
      </c>
      <c r="AV45" s="55">
        <f>ROUND(AW45+AX45,2)</f>
        <v>0</v>
      </c>
      <c r="AW45" s="55">
        <f>ROUND(G45*AO45,2)</f>
        <v>0</v>
      </c>
      <c r="AX45" s="55">
        <f>ROUND(G45*AP45,2)</f>
        <v>0</v>
      </c>
      <c r="AY45" s="54" t="s">
        <v>666</v>
      </c>
      <c r="AZ45" s="54" t="s">
        <v>667</v>
      </c>
      <c r="BA45" s="75" t="s">
        <v>584</v>
      </c>
      <c r="BC45" s="55">
        <f>AW45+AX45</f>
        <v>0</v>
      </c>
      <c r="BD45" s="55">
        <f>H45/(100-BE45)*100</f>
        <v>0</v>
      </c>
      <c r="BE45" s="55">
        <v>0</v>
      </c>
      <c r="BF45" s="55">
        <f>O45</f>
        <v>0</v>
      </c>
      <c r="BH45" s="55">
        <f>G45*AO45</f>
        <v>0</v>
      </c>
      <c r="BI45" s="55">
        <f>G45*AP45</f>
        <v>0</v>
      </c>
      <c r="BJ45" s="55">
        <f>G45*H45</f>
        <v>0</v>
      </c>
      <c r="BK45" s="54" t="s">
        <v>161</v>
      </c>
      <c r="BL45" s="55"/>
      <c r="BW45" s="55">
        <f>I45</f>
        <v>21</v>
      </c>
      <c r="BX45" s="16" t="s">
        <v>670</v>
      </c>
    </row>
    <row r="46" spans="1:76" ht="15" customHeight="1" x14ac:dyDescent="0.3">
      <c r="A46" s="94" t="s">
        <v>284</v>
      </c>
      <c r="B46" s="94" t="s">
        <v>112</v>
      </c>
      <c r="C46" s="94" t="s">
        <v>672</v>
      </c>
      <c r="D46" s="199" t="s">
        <v>673</v>
      </c>
      <c r="E46" s="199"/>
      <c r="F46" s="94" t="s">
        <v>674</v>
      </c>
      <c r="G46" s="96">
        <f>'Stavební rozpočet'!G211</f>
        <v>1</v>
      </c>
      <c r="H46" s="97">
        <f>'Stavební rozpočet'!H211</f>
        <v>0</v>
      </c>
      <c r="I46" s="98">
        <v>21</v>
      </c>
      <c r="J46" s="97">
        <f>ROUND(G46*AO46,2)</f>
        <v>0</v>
      </c>
      <c r="K46" s="97">
        <f>ROUND(G46*AP46,2)</f>
        <v>0</v>
      </c>
      <c r="L46" s="97">
        <f>ROUND(G46*H46,2)</f>
        <v>0</v>
      </c>
      <c r="M46" s="97">
        <f>L46*(1+BW46/100)</f>
        <v>0</v>
      </c>
      <c r="N46" s="97">
        <f>'Stavební rozpočet'!N211</f>
        <v>0</v>
      </c>
      <c r="O46" s="97">
        <f>G46*N46</f>
        <v>0</v>
      </c>
      <c r="P46" s="99" t="s">
        <v>156</v>
      </c>
      <c r="Z46" s="55">
        <f>ROUND(IF(AQ46="5",BJ46,0),2)</f>
        <v>0</v>
      </c>
      <c r="AB46" s="55">
        <f>ROUND(IF(AQ46="1",BH46,0),2)</f>
        <v>0</v>
      </c>
      <c r="AC46" s="55">
        <f>ROUND(IF(AQ46="1",BI46,0),2)</f>
        <v>0</v>
      </c>
      <c r="AD46" s="55">
        <f>ROUND(IF(AQ46="7",BH46,0),2)</f>
        <v>0</v>
      </c>
      <c r="AE46" s="55">
        <f>ROUND(IF(AQ46="7",BI46,0),2)</f>
        <v>0</v>
      </c>
      <c r="AF46" s="55">
        <f>ROUND(IF(AQ46="2",BH46,0),2)</f>
        <v>0</v>
      </c>
      <c r="AG46" s="55">
        <f>ROUND(IF(AQ46="2",BI46,0),2)</f>
        <v>0</v>
      </c>
      <c r="AH46" s="55">
        <f>ROUND(IF(AQ46="0",BJ46,0),2)</f>
        <v>0</v>
      </c>
      <c r="AI46" s="75" t="s">
        <v>112</v>
      </c>
      <c r="AJ46" s="55">
        <f>IF(AN46=0,L46,0)</f>
        <v>0</v>
      </c>
      <c r="AK46" s="55">
        <f>IF(AN46=12,L46,0)</f>
        <v>0</v>
      </c>
      <c r="AL46" s="55">
        <f>IF(AN46=21,L46,0)</f>
        <v>0</v>
      </c>
      <c r="AN46" s="55">
        <v>21</v>
      </c>
      <c r="AO46" s="55">
        <f>H46*0</f>
        <v>0</v>
      </c>
      <c r="AP46" s="55">
        <f>H46*(1-0)</f>
        <v>0</v>
      </c>
      <c r="AQ46" s="54" t="s">
        <v>152</v>
      </c>
      <c r="AV46" s="55">
        <f>ROUND(AW46+AX46,2)</f>
        <v>0</v>
      </c>
      <c r="AW46" s="55">
        <f>ROUND(G46*AO46,2)</f>
        <v>0</v>
      </c>
      <c r="AX46" s="55">
        <f>ROUND(G46*AP46,2)</f>
        <v>0</v>
      </c>
      <c r="AY46" s="54" t="s">
        <v>666</v>
      </c>
      <c r="AZ46" s="54" t="s">
        <v>667</v>
      </c>
      <c r="BA46" s="75" t="s">
        <v>584</v>
      </c>
      <c r="BC46" s="55">
        <f>AW46+AX46</f>
        <v>0</v>
      </c>
      <c r="BD46" s="55">
        <f>H46/(100-BE46)*100</f>
        <v>0</v>
      </c>
      <c r="BE46" s="55">
        <v>0</v>
      </c>
      <c r="BF46" s="55">
        <f>O46</f>
        <v>0</v>
      </c>
      <c r="BH46" s="55">
        <f>G46*AO46</f>
        <v>0</v>
      </c>
      <c r="BI46" s="55">
        <f>G46*AP46</f>
        <v>0</v>
      </c>
      <c r="BJ46" s="55">
        <f>G46*H46</f>
        <v>0</v>
      </c>
      <c r="BK46" s="54" t="s">
        <v>161</v>
      </c>
      <c r="BL46" s="55"/>
      <c r="BW46" s="55">
        <f>I46</f>
        <v>21</v>
      </c>
      <c r="BX46" s="16" t="s">
        <v>673</v>
      </c>
    </row>
    <row r="47" spans="1:76" ht="24" customHeight="1" x14ac:dyDescent="0.3">
      <c r="A47" s="94" t="s">
        <v>290</v>
      </c>
      <c r="B47" s="94" t="s">
        <v>112</v>
      </c>
      <c r="C47" s="94" t="s">
        <v>676</v>
      </c>
      <c r="D47" s="199" t="s">
        <v>677</v>
      </c>
      <c r="E47" s="199"/>
      <c r="F47" s="94" t="s">
        <v>674</v>
      </c>
      <c r="G47" s="96">
        <f>'Stavební rozpočet'!G212</f>
        <v>1</v>
      </c>
      <c r="H47" s="97">
        <f>'Stavební rozpočet'!H212</f>
        <v>0</v>
      </c>
      <c r="I47" s="98">
        <v>21</v>
      </c>
      <c r="J47" s="97">
        <f>ROUND(G47*AO47,2)</f>
        <v>0</v>
      </c>
      <c r="K47" s="97">
        <f>ROUND(G47*AP47,2)</f>
        <v>0</v>
      </c>
      <c r="L47" s="97">
        <f>ROUND(G47*H47,2)</f>
        <v>0</v>
      </c>
      <c r="M47" s="97">
        <f>L47*(1+BW47/100)</f>
        <v>0</v>
      </c>
      <c r="N47" s="97">
        <f>'Stavební rozpočet'!N212</f>
        <v>0</v>
      </c>
      <c r="O47" s="97">
        <f>G47*N47</f>
        <v>0</v>
      </c>
      <c r="P47" s="99" t="s">
        <v>156</v>
      </c>
      <c r="Z47" s="55">
        <f>ROUND(IF(AQ47="5",BJ47,0),2)</f>
        <v>0</v>
      </c>
      <c r="AB47" s="55">
        <f>ROUND(IF(AQ47="1",BH47,0),2)</f>
        <v>0</v>
      </c>
      <c r="AC47" s="55">
        <f>ROUND(IF(AQ47="1",BI47,0),2)</f>
        <v>0</v>
      </c>
      <c r="AD47" s="55">
        <f>ROUND(IF(AQ47="7",BH47,0),2)</f>
        <v>0</v>
      </c>
      <c r="AE47" s="55">
        <f>ROUND(IF(AQ47="7",BI47,0),2)</f>
        <v>0</v>
      </c>
      <c r="AF47" s="55">
        <f>ROUND(IF(AQ47="2",BH47,0),2)</f>
        <v>0</v>
      </c>
      <c r="AG47" s="55">
        <f>ROUND(IF(AQ47="2",BI47,0),2)</f>
        <v>0</v>
      </c>
      <c r="AH47" s="55">
        <f>ROUND(IF(AQ47="0",BJ47,0),2)</f>
        <v>0</v>
      </c>
      <c r="AI47" s="75" t="s">
        <v>112</v>
      </c>
      <c r="AJ47" s="55">
        <f>IF(AN47=0,L47,0)</f>
        <v>0</v>
      </c>
      <c r="AK47" s="55">
        <f>IF(AN47=12,L47,0)</f>
        <v>0</v>
      </c>
      <c r="AL47" s="55">
        <f>IF(AN47=21,L47,0)</f>
        <v>0</v>
      </c>
      <c r="AN47" s="55">
        <v>21</v>
      </c>
      <c r="AO47" s="55">
        <f>H47*0</f>
        <v>0</v>
      </c>
      <c r="AP47" s="55">
        <f>H47*(1-0)</f>
        <v>0</v>
      </c>
      <c r="AQ47" s="54" t="s">
        <v>152</v>
      </c>
      <c r="AV47" s="55">
        <f>ROUND(AW47+AX47,2)</f>
        <v>0</v>
      </c>
      <c r="AW47" s="55">
        <f>ROUND(G47*AO47,2)</f>
        <v>0</v>
      </c>
      <c r="AX47" s="55">
        <f>ROUND(G47*AP47,2)</f>
        <v>0</v>
      </c>
      <c r="AY47" s="54" t="s">
        <v>666</v>
      </c>
      <c r="AZ47" s="54" t="s">
        <v>667</v>
      </c>
      <c r="BA47" s="75" t="s">
        <v>584</v>
      </c>
      <c r="BC47" s="55">
        <f>AW47+AX47</f>
        <v>0</v>
      </c>
      <c r="BD47" s="55">
        <f>H47/(100-BE47)*100</f>
        <v>0</v>
      </c>
      <c r="BE47" s="55">
        <v>0</v>
      </c>
      <c r="BF47" s="55">
        <f>O47</f>
        <v>0</v>
      </c>
      <c r="BH47" s="55">
        <f>G47*AO47</f>
        <v>0</v>
      </c>
      <c r="BI47" s="55">
        <f>G47*AP47</f>
        <v>0</v>
      </c>
      <c r="BJ47" s="55">
        <f>G47*H47</f>
        <v>0</v>
      </c>
      <c r="BK47" s="54" t="s">
        <v>161</v>
      </c>
      <c r="BL47" s="55"/>
      <c r="BW47" s="55">
        <f>I47</f>
        <v>21</v>
      </c>
      <c r="BX47" s="16" t="s">
        <v>677</v>
      </c>
    </row>
    <row r="48" spans="1:76" ht="15" customHeight="1" x14ac:dyDescent="0.3">
      <c r="A48" s="88"/>
      <c r="B48" s="89" t="s">
        <v>112</v>
      </c>
      <c r="C48" s="89" t="s">
        <v>548</v>
      </c>
      <c r="D48" s="198" t="s">
        <v>549</v>
      </c>
      <c r="E48" s="198"/>
      <c r="F48" s="88" t="s">
        <v>96</v>
      </c>
      <c r="G48" s="90" t="s">
        <v>96</v>
      </c>
      <c r="H48" s="88" t="s">
        <v>96</v>
      </c>
      <c r="I48" s="88" t="s">
        <v>96</v>
      </c>
      <c r="J48" s="91">
        <f>SUM(J49:J50)</f>
        <v>0</v>
      </c>
      <c r="K48" s="91">
        <f>SUM(K49:K50)</f>
        <v>0</v>
      </c>
      <c r="L48" s="91">
        <f>SUM(L49:L50)</f>
        <v>0</v>
      </c>
      <c r="M48" s="91">
        <f>SUM(M49:M50)</f>
        <v>0</v>
      </c>
      <c r="N48" s="92"/>
      <c r="O48" s="91">
        <f>SUM(O49:O50)</f>
        <v>6.6000000000000003E-2</v>
      </c>
      <c r="P48" s="92"/>
      <c r="AI48" s="75" t="s">
        <v>112</v>
      </c>
      <c r="AS48" s="68">
        <f>SUM(AJ49:AJ50)</f>
        <v>0</v>
      </c>
      <c r="AT48" s="68">
        <f>SUM(AK49:AK50)</f>
        <v>0</v>
      </c>
      <c r="AU48" s="68">
        <f>SUM(AL49:AL50)</f>
        <v>0</v>
      </c>
    </row>
    <row r="49" spans="1:76" ht="24" customHeight="1" x14ac:dyDescent="0.3">
      <c r="A49" s="94" t="s">
        <v>292</v>
      </c>
      <c r="B49" s="94" t="s">
        <v>112</v>
      </c>
      <c r="C49" s="94" t="s">
        <v>679</v>
      </c>
      <c r="D49" s="199" t="s">
        <v>680</v>
      </c>
      <c r="E49" s="199"/>
      <c r="F49" s="94" t="s">
        <v>212</v>
      </c>
      <c r="G49" s="96">
        <f>'Stavební rozpočet'!G214</f>
        <v>1</v>
      </c>
      <c r="H49" s="97">
        <f>'Stavební rozpočet'!H214</f>
        <v>0</v>
      </c>
      <c r="I49" s="98">
        <v>21</v>
      </c>
      <c r="J49" s="97">
        <f>ROUND(G49*AO49,2)</f>
        <v>0</v>
      </c>
      <c r="K49" s="97">
        <f>ROUND(G49*AP49,2)</f>
        <v>0</v>
      </c>
      <c r="L49" s="97">
        <f>ROUND(G49*H49,2)</f>
        <v>0</v>
      </c>
      <c r="M49" s="97">
        <f>L49*(1+BW49/100)</f>
        <v>0</v>
      </c>
      <c r="N49" s="97">
        <f>'Stavební rozpočet'!N214</f>
        <v>0</v>
      </c>
      <c r="O49" s="97">
        <f>G49*N49</f>
        <v>0</v>
      </c>
      <c r="P49" s="99" t="s">
        <v>156</v>
      </c>
      <c r="Z49" s="55">
        <f>ROUND(IF(AQ49="5",BJ49,0),2)</f>
        <v>0</v>
      </c>
      <c r="AB49" s="55">
        <f>ROUND(IF(AQ49="1",BH49,0),2)</f>
        <v>0</v>
      </c>
      <c r="AC49" s="55">
        <f>ROUND(IF(AQ49="1",BI49,0),2)</f>
        <v>0</v>
      </c>
      <c r="AD49" s="55">
        <f>ROUND(IF(AQ49="7",BH49,0),2)</f>
        <v>0</v>
      </c>
      <c r="AE49" s="55">
        <f>ROUND(IF(AQ49="7",BI49,0),2)</f>
        <v>0</v>
      </c>
      <c r="AF49" s="55">
        <f>ROUND(IF(AQ49="2",BH49,0),2)</f>
        <v>0</v>
      </c>
      <c r="AG49" s="55">
        <f>ROUND(IF(AQ49="2",BI49,0),2)</f>
        <v>0</v>
      </c>
      <c r="AH49" s="55">
        <f>ROUND(IF(AQ49="0",BJ49,0),2)</f>
        <v>0</v>
      </c>
      <c r="AI49" s="75" t="s">
        <v>112</v>
      </c>
      <c r="AJ49" s="55">
        <f>IF(AN49=0,L49,0)</f>
        <v>0</v>
      </c>
      <c r="AK49" s="55">
        <f>IF(AN49=12,L49,0)</f>
        <v>0</v>
      </c>
      <c r="AL49" s="55">
        <f>IF(AN49=21,L49,0)</f>
        <v>0</v>
      </c>
      <c r="AN49" s="55">
        <v>21</v>
      </c>
      <c r="AO49" s="55">
        <f>H49*0.003124752</f>
        <v>0</v>
      </c>
      <c r="AP49" s="55">
        <f>H49*(1-0.003124752)</f>
        <v>0</v>
      </c>
      <c r="AQ49" s="54" t="s">
        <v>162</v>
      </c>
      <c r="AV49" s="55">
        <f>ROUND(AW49+AX49,2)</f>
        <v>0</v>
      </c>
      <c r="AW49" s="55">
        <f>ROUND(G49*AO49,2)</f>
        <v>0</v>
      </c>
      <c r="AX49" s="55">
        <f>ROUND(G49*AP49,2)</f>
        <v>0</v>
      </c>
      <c r="AY49" s="54" t="s">
        <v>553</v>
      </c>
      <c r="AZ49" s="54" t="s">
        <v>667</v>
      </c>
      <c r="BA49" s="75" t="s">
        <v>584</v>
      </c>
      <c r="BC49" s="55">
        <f>AW49+AX49</f>
        <v>0</v>
      </c>
      <c r="BD49" s="55">
        <f>H49/(100-BE49)*100</f>
        <v>0</v>
      </c>
      <c r="BE49" s="55">
        <v>0</v>
      </c>
      <c r="BF49" s="55">
        <f>O49</f>
        <v>0</v>
      </c>
      <c r="BH49" s="55">
        <f>G49*AO49</f>
        <v>0</v>
      </c>
      <c r="BI49" s="55">
        <f>G49*AP49</f>
        <v>0</v>
      </c>
      <c r="BJ49" s="55">
        <f>G49*H49</f>
        <v>0</v>
      </c>
      <c r="BK49" s="54" t="s">
        <v>161</v>
      </c>
      <c r="BL49" s="55"/>
      <c r="BW49" s="55">
        <f>I49</f>
        <v>21</v>
      </c>
      <c r="BX49" s="16" t="s">
        <v>680</v>
      </c>
    </row>
    <row r="50" spans="1:76" ht="24" customHeight="1" x14ac:dyDescent="0.3">
      <c r="A50" s="105" t="s">
        <v>294</v>
      </c>
      <c r="B50" s="105" t="s">
        <v>112</v>
      </c>
      <c r="C50" s="105" t="s">
        <v>682</v>
      </c>
      <c r="D50" s="201" t="s">
        <v>683</v>
      </c>
      <c r="E50" s="201"/>
      <c r="F50" s="105" t="s">
        <v>212</v>
      </c>
      <c r="G50" s="107">
        <f>'Stavební rozpočet'!G215</f>
        <v>1</v>
      </c>
      <c r="H50" s="108">
        <f>'Stavební rozpočet'!H215</f>
        <v>0</v>
      </c>
      <c r="I50" s="109">
        <v>21</v>
      </c>
      <c r="J50" s="108">
        <f>ROUND(G50*AO50,2)</f>
        <v>0</v>
      </c>
      <c r="K50" s="108">
        <f>ROUND(G50*AP50,2)</f>
        <v>0</v>
      </c>
      <c r="L50" s="108">
        <f>ROUND(G50*H50,2)</f>
        <v>0</v>
      </c>
      <c r="M50" s="108">
        <f>L50*(1+BW50/100)</f>
        <v>0</v>
      </c>
      <c r="N50" s="108">
        <f>'Stavební rozpočet'!N215</f>
        <v>6.6000000000000003E-2</v>
      </c>
      <c r="O50" s="108">
        <f>G50*N50</f>
        <v>6.6000000000000003E-2</v>
      </c>
      <c r="P50" s="110" t="s">
        <v>156</v>
      </c>
      <c r="Z50" s="55">
        <f>ROUND(IF(AQ50="5",BJ50,0),2)</f>
        <v>0</v>
      </c>
      <c r="AB50" s="55">
        <f>ROUND(IF(AQ50="1",BH50,0),2)</f>
        <v>0</v>
      </c>
      <c r="AC50" s="55">
        <f>ROUND(IF(AQ50="1",BI50,0),2)</f>
        <v>0</v>
      </c>
      <c r="AD50" s="55">
        <f>ROUND(IF(AQ50="7",BH50,0),2)</f>
        <v>0</v>
      </c>
      <c r="AE50" s="55">
        <f>ROUND(IF(AQ50="7",BI50,0),2)</f>
        <v>0</v>
      </c>
      <c r="AF50" s="55">
        <f>ROUND(IF(AQ50="2",BH50,0),2)</f>
        <v>0</v>
      </c>
      <c r="AG50" s="55">
        <f>ROUND(IF(AQ50="2",BI50,0),2)</f>
        <v>0</v>
      </c>
      <c r="AH50" s="55">
        <f>ROUND(IF(AQ50="0",BJ50,0),2)</f>
        <v>0</v>
      </c>
      <c r="AI50" s="75" t="s">
        <v>112</v>
      </c>
      <c r="AJ50" s="111">
        <f>IF(AN50=0,L50,0)</f>
        <v>0</v>
      </c>
      <c r="AK50" s="111">
        <f>IF(AN50=12,L50,0)</f>
        <v>0</v>
      </c>
      <c r="AL50" s="111">
        <f>IF(AN50=21,L50,0)</f>
        <v>0</v>
      </c>
      <c r="AN50" s="55">
        <v>21</v>
      </c>
      <c r="AO50" s="55">
        <f>H50*1</f>
        <v>0</v>
      </c>
      <c r="AP50" s="55">
        <f>H50*(1-1)</f>
        <v>0</v>
      </c>
      <c r="AQ50" s="112" t="s">
        <v>152</v>
      </c>
      <c r="AV50" s="55">
        <f>ROUND(AW50+AX50,2)</f>
        <v>0</v>
      </c>
      <c r="AW50" s="55">
        <f>ROUND(G50*AO50,2)</f>
        <v>0</v>
      </c>
      <c r="AX50" s="55">
        <f>ROUND(G50*AP50,2)</f>
        <v>0</v>
      </c>
      <c r="AY50" s="54" t="s">
        <v>553</v>
      </c>
      <c r="AZ50" s="54" t="s">
        <v>667</v>
      </c>
      <c r="BA50" s="75" t="s">
        <v>584</v>
      </c>
      <c r="BC50" s="55">
        <f>AW50+AX50</f>
        <v>0</v>
      </c>
      <c r="BD50" s="55">
        <f>H50/(100-BE50)*100</f>
        <v>0</v>
      </c>
      <c r="BE50" s="55">
        <v>0</v>
      </c>
      <c r="BF50" s="55">
        <f>O50</f>
        <v>6.6000000000000003E-2</v>
      </c>
      <c r="BH50" s="111">
        <f>G50*AO50</f>
        <v>0</v>
      </c>
      <c r="BI50" s="111">
        <f>G50*AP50</f>
        <v>0</v>
      </c>
      <c r="BJ50" s="111">
        <f>G50*H50</f>
        <v>0</v>
      </c>
      <c r="BK50" s="112" t="s">
        <v>489</v>
      </c>
      <c r="BL50" s="55"/>
      <c r="BW50" s="55">
        <f>I50</f>
        <v>21</v>
      </c>
      <c r="BX50" s="113" t="s">
        <v>683</v>
      </c>
    </row>
    <row r="51" spans="1:76" ht="19.8" customHeight="1" x14ac:dyDescent="0.3">
      <c r="J51" s="191" t="s">
        <v>113</v>
      </c>
      <c r="K51" s="191"/>
      <c r="L51" s="129">
        <f>ROUND(L13+L15+L19+L33+L43+L48,1)</f>
        <v>0</v>
      </c>
      <c r="M51" s="129">
        <f>ROUND(M13+M15+M19+M33+M43+M48,1)</f>
        <v>0</v>
      </c>
    </row>
    <row r="52" spans="1:76" x14ac:dyDescent="0.3">
      <c r="A52"/>
    </row>
    <row r="53" spans="1:76" hidden="1" x14ac:dyDescent="0.3">
      <c r="A53" s="8"/>
      <c r="B53" s="8"/>
      <c r="C53" s="8"/>
      <c r="D53" s="8"/>
      <c r="E53" s="8"/>
      <c r="F53" s="8"/>
      <c r="G53" s="8"/>
      <c r="H53" s="8"/>
      <c r="I53" s="8"/>
      <c r="J53" s="8"/>
      <c r="K53" s="8"/>
      <c r="L53" s="8"/>
      <c r="M53" s="8"/>
      <c r="N53" s="8"/>
      <c r="O53" s="8"/>
      <c r="P53" s="8"/>
    </row>
  </sheetData>
  <mergeCells count="70">
    <mergeCell ref="A53:P53"/>
    <mergeCell ref="D47:E47"/>
    <mergeCell ref="D48:E48"/>
    <mergeCell ref="D49:E49"/>
    <mergeCell ref="D50:E50"/>
    <mergeCell ref="J51:K51"/>
    <mergeCell ref="D42:E42"/>
    <mergeCell ref="D43:E43"/>
    <mergeCell ref="D44:E44"/>
    <mergeCell ref="D45:E45"/>
    <mergeCell ref="D46:E46"/>
    <mergeCell ref="D37:E37"/>
    <mergeCell ref="D38:E38"/>
    <mergeCell ref="D39:E39"/>
    <mergeCell ref="D40:E40"/>
    <mergeCell ref="D41:E41"/>
    <mergeCell ref="D32:E32"/>
    <mergeCell ref="D33:E33"/>
    <mergeCell ref="D34:E34"/>
    <mergeCell ref="D35:E35"/>
    <mergeCell ref="D36:E36"/>
    <mergeCell ref="D27:E27"/>
    <mergeCell ref="D28:E28"/>
    <mergeCell ref="D29:E29"/>
    <mergeCell ref="D30:E30"/>
    <mergeCell ref="D31:E31"/>
    <mergeCell ref="D22:E22"/>
    <mergeCell ref="D23:E23"/>
    <mergeCell ref="D24:E24"/>
    <mergeCell ref="D25:E25"/>
    <mergeCell ref="D26:E26"/>
    <mergeCell ref="D17:E17"/>
    <mergeCell ref="D18:E18"/>
    <mergeCell ref="D19:E19"/>
    <mergeCell ref="D20:E20"/>
    <mergeCell ref="D21:E21"/>
    <mergeCell ref="D12:E12"/>
    <mergeCell ref="D13:E13"/>
    <mergeCell ref="D14:E14"/>
    <mergeCell ref="D15:E15"/>
    <mergeCell ref="D16:E16"/>
    <mergeCell ref="K8:P9"/>
    <mergeCell ref="D10:E10"/>
    <mergeCell ref="J10:L10"/>
    <mergeCell ref="N10:O10"/>
    <mergeCell ref="D11:E11"/>
    <mergeCell ref="A8:C9"/>
    <mergeCell ref="D8:E9"/>
    <mergeCell ref="F8:G9"/>
    <mergeCell ref="H8:H9"/>
    <mergeCell ref="I8:J9"/>
    <mergeCell ref="K4:P5"/>
    <mergeCell ref="A6:C7"/>
    <mergeCell ref="D6:E7"/>
    <mergeCell ref="F6:G7"/>
    <mergeCell ref="H6:H7"/>
    <mergeCell ref="I6:J7"/>
    <mergeCell ref="K6:P7"/>
    <mergeCell ref="A4:C5"/>
    <mergeCell ref="D4:E5"/>
    <mergeCell ref="F4:G5"/>
    <mergeCell ref="H4:H5"/>
    <mergeCell ref="I4:J5"/>
    <mergeCell ref="A1:P1"/>
    <mergeCell ref="A2:C3"/>
    <mergeCell ref="D2:E3"/>
    <mergeCell ref="F2:G3"/>
    <mergeCell ref="H2:H3"/>
    <mergeCell ref="I2:J3"/>
    <mergeCell ref="K2:P3"/>
  </mergeCells>
  <pageMargins left="0.39374999999999999" right="0.39374999999999999" top="0.59097222222222201" bottom="0.59097222222222201" header="0.511811023622047" footer="0.511811023622047"/>
  <pageSetup fitToHeight="0" orientation="landscape" horizontalDpi="300"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D2B48C"/>
    <pageSetUpPr fitToPage="1"/>
  </sheetPr>
  <dimension ref="A1:H85"/>
  <sheetViews>
    <sheetView zoomScaleNormal="100" workbookViewId="0"/>
  </sheetViews>
  <sheetFormatPr defaultColWidth="12.109375" defaultRowHeight="14.4" x14ac:dyDescent="0.3"/>
  <cols>
    <col min="1" max="1" width="5.6640625" style="22" customWidth="1"/>
    <col min="2" max="2" width="9.109375" style="22" customWidth="1"/>
    <col min="3" max="3" width="16.109375" style="22" customWidth="1"/>
    <col min="4" max="4" width="42.88671875" style="65" customWidth="1"/>
    <col min="5" max="5" width="47.88671875" style="22" customWidth="1"/>
    <col min="6" max="6" width="24.109375" style="22" customWidth="1"/>
    <col min="7" max="7" width="15.6640625" style="22" customWidth="1"/>
    <col min="8" max="8" width="20" style="22" customWidth="1"/>
  </cols>
  <sheetData>
    <row r="1" spans="1:8" ht="39.75" customHeight="1" x14ac:dyDescent="0.25">
      <c r="A1" s="205" t="s">
        <v>937</v>
      </c>
      <c r="B1" s="205"/>
      <c r="C1" s="205"/>
      <c r="D1" s="205"/>
      <c r="E1" s="205"/>
      <c r="F1" s="205"/>
      <c r="G1" s="205"/>
      <c r="H1" s="205"/>
    </row>
    <row r="2" spans="1:8" ht="15" customHeight="1" x14ac:dyDescent="0.25">
      <c r="A2" s="13" t="s">
        <v>1</v>
      </c>
      <c r="B2" s="13"/>
      <c r="C2" s="12" t="str">
        <f>'Stavební rozpočet'!D2</f>
        <v>DEMOLICE PANELOVÉHO DOMU V HORNÍM PARKU</v>
      </c>
      <c r="D2" s="12"/>
      <c r="E2" s="11" t="s">
        <v>2</v>
      </c>
      <c r="F2" s="181" t="str">
        <f>'Stavební rozpočet'!J2</f>
        <v>MĚSTO ZNOJMO</v>
      </c>
      <c r="G2" s="181"/>
      <c r="H2" s="181"/>
    </row>
    <row r="3" spans="1:8" ht="13.2" x14ac:dyDescent="0.25">
      <c r="A3" s="13"/>
      <c r="B3" s="13"/>
      <c r="C3" s="12"/>
      <c r="D3" s="12"/>
      <c r="E3" s="11"/>
      <c r="F3" s="11"/>
      <c r="G3" s="181"/>
      <c r="H3" s="181"/>
    </row>
    <row r="4" spans="1:8" ht="15" customHeight="1" x14ac:dyDescent="0.25">
      <c r="A4" s="9" t="s">
        <v>4</v>
      </c>
      <c r="B4" s="9"/>
      <c r="C4" s="8" t="str">
        <f>'Stavební rozpočet'!D4</f>
        <v>Postupná demolice panelového domu</v>
      </c>
      <c r="D4" s="8"/>
      <c r="E4" s="8" t="s">
        <v>5</v>
      </c>
      <c r="F4" s="182" t="str">
        <f>'Stavební rozpočet'!J4</f>
        <v>Ing.  Roman Zvěřina, Dolní Česká 358/25, 669 02 Znojmo</v>
      </c>
      <c r="G4" s="182"/>
      <c r="H4" s="182"/>
    </row>
    <row r="5" spans="1:8" ht="13.2" x14ac:dyDescent="0.25">
      <c r="A5" s="9"/>
      <c r="B5" s="9"/>
      <c r="C5" s="8"/>
      <c r="D5" s="8"/>
      <c r="E5" s="8"/>
      <c r="F5" s="8"/>
      <c r="G5" s="182"/>
      <c r="H5" s="182"/>
    </row>
    <row r="6" spans="1:8" ht="15" customHeight="1" x14ac:dyDescent="0.25">
      <c r="A6" s="9" t="s">
        <v>7</v>
      </c>
      <c r="B6" s="9"/>
      <c r="C6" s="8" t="str">
        <f>'Stavební rozpočet'!D6</f>
        <v>k.ú.Znojmo-město parc.č.258/5</v>
      </c>
      <c r="D6" s="8"/>
      <c r="E6" s="8" t="s">
        <v>8</v>
      </c>
      <c r="F6" s="182" t="str">
        <f>'Stavební rozpočet'!J6</f>
        <v> </v>
      </c>
      <c r="G6" s="182"/>
      <c r="H6" s="182"/>
    </row>
    <row r="7" spans="1:8" ht="13.2" x14ac:dyDescent="0.25">
      <c r="A7" s="9"/>
      <c r="B7" s="9"/>
      <c r="C7" s="8"/>
      <c r="D7" s="8"/>
      <c r="E7" s="8"/>
      <c r="F7" s="8"/>
      <c r="G7" s="182"/>
      <c r="H7" s="182"/>
    </row>
    <row r="8" spans="1:8" ht="15" customHeight="1" x14ac:dyDescent="0.25">
      <c r="A8" s="9" t="s">
        <v>13</v>
      </c>
      <c r="B8" s="9"/>
      <c r="C8" s="8" t="str">
        <f>'Stavební rozpočet'!J8</f>
        <v>Bohuslav Hemala</v>
      </c>
      <c r="D8" s="8"/>
      <c r="E8" s="8" t="s">
        <v>95</v>
      </c>
      <c r="F8" s="182" t="str">
        <f>'Stavební rozpočet'!H8</f>
        <v>16.05.2025</v>
      </c>
      <c r="G8" s="182"/>
      <c r="H8" s="182"/>
    </row>
    <row r="9" spans="1:8" ht="13.2" x14ac:dyDescent="0.25">
      <c r="A9" s="9"/>
      <c r="B9" s="9"/>
      <c r="C9" s="8"/>
      <c r="D9" s="8"/>
      <c r="E9" s="8"/>
      <c r="F9" s="8"/>
      <c r="G9" s="182"/>
      <c r="H9" s="182"/>
    </row>
    <row r="10" spans="1:8" ht="15" customHeight="1" x14ac:dyDescent="0.25">
      <c r="A10" s="130" t="s">
        <v>122</v>
      </c>
      <c r="B10" s="131" t="s">
        <v>99</v>
      </c>
      <c r="C10" s="131" t="s">
        <v>123</v>
      </c>
      <c r="D10" s="206" t="s">
        <v>100</v>
      </c>
      <c r="E10" s="206"/>
      <c r="F10" s="131" t="s">
        <v>124</v>
      </c>
      <c r="G10" s="132" t="s">
        <v>125</v>
      </c>
      <c r="H10" s="133" t="s">
        <v>685</v>
      </c>
    </row>
    <row r="11" spans="1:8" ht="15" customHeight="1" x14ac:dyDescent="0.25">
      <c r="A11" s="89"/>
      <c r="B11" s="89" t="s">
        <v>686</v>
      </c>
      <c r="C11" s="89" t="s">
        <v>234</v>
      </c>
      <c r="D11" s="198" t="s">
        <v>523</v>
      </c>
      <c r="E11" s="198"/>
      <c r="F11" s="89"/>
      <c r="G11" s="92"/>
      <c r="H11" s="92"/>
    </row>
    <row r="12" spans="1:8" ht="15" customHeight="1" x14ac:dyDescent="0.25">
      <c r="A12" s="89"/>
      <c r="B12" s="89" t="s">
        <v>686</v>
      </c>
      <c r="C12" s="89" t="s">
        <v>311</v>
      </c>
      <c r="D12" s="198" t="s">
        <v>585</v>
      </c>
      <c r="E12" s="198"/>
      <c r="F12" s="89"/>
      <c r="G12" s="92"/>
      <c r="H12" s="92"/>
    </row>
    <row r="13" spans="1:8" ht="15" customHeight="1" x14ac:dyDescent="0.25">
      <c r="A13" s="89"/>
      <c r="B13" s="89" t="s">
        <v>686</v>
      </c>
      <c r="C13" s="89" t="s">
        <v>370</v>
      </c>
      <c r="D13" s="198" t="s">
        <v>598</v>
      </c>
      <c r="E13" s="198"/>
      <c r="F13" s="89"/>
      <c r="G13" s="92"/>
      <c r="H13" s="92"/>
    </row>
    <row r="14" spans="1:8" ht="15" customHeight="1" x14ac:dyDescent="0.25">
      <c r="A14" s="89"/>
      <c r="B14" s="89" t="s">
        <v>686</v>
      </c>
      <c r="C14" s="89" t="s">
        <v>266</v>
      </c>
      <c r="D14" s="198" t="s">
        <v>267</v>
      </c>
      <c r="E14" s="198"/>
      <c r="F14" s="89"/>
      <c r="G14" s="92"/>
      <c r="H14" s="92"/>
    </row>
    <row r="15" spans="1:8" ht="15" customHeight="1" x14ac:dyDescent="0.25">
      <c r="A15" s="89"/>
      <c r="B15" s="89" t="s">
        <v>686</v>
      </c>
      <c r="C15" s="89" t="s">
        <v>661</v>
      </c>
      <c r="D15" s="198" t="s">
        <v>662</v>
      </c>
      <c r="E15" s="198"/>
      <c r="F15" s="89"/>
      <c r="G15" s="92"/>
      <c r="H15" s="92"/>
    </row>
    <row r="16" spans="1:8" ht="15" customHeight="1" x14ac:dyDescent="0.25">
      <c r="A16" s="89"/>
      <c r="B16" s="89" t="s">
        <v>686</v>
      </c>
      <c r="C16" s="89" t="s">
        <v>548</v>
      </c>
      <c r="D16" s="198" t="s">
        <v>549</v>
      </c>
      <c r="E16" s="198"/>
      <c r="F16" s="89"/>
      <c r="G16" s="92"/>
      <c r="H16" s="92"/>
    </row>
    <row r="17" spans="1:8" ht="15" customHeight="1" x14ac:dyDescent="0.25">
      <c r="A17" s="94" t="s">
        <v>152</v>
      </c>
      <c r="B17" s="94" t="s">
        <v>112</v>
      </c>
      <c r="C17" s="94" t="s">
        <v>581</v>
      </c>
      <c r="D17" s="199" t="s">
        <v>582</v>
      </c>
      <c r="E17" s="199"/>
      <c r="F17" s="94" t="s">
        <v>155</v>
      </c>
      <c r="G17" s="97">
        <v>460</v>
      </c>
      <c r="H17" s="97">
        <v>0</v>
      </c>
    </row>
    <row r="18" spans="1:8" x14ac:dyDescent="0.3">
      <c r="A18" s="134"/>
      <c r="B18" s="134"/>
      <c r="C18" s="134"/>
      <c r="D18" s="135" t="s">
        <v>857</v>
      </c>
      <c r="E18" s="207"/>
      <c r="F18" s="207"/>
      <c r="G18" s="137">
        <v>460</v>
      </c>
      <c r="H18" s="134"/>
    </row>
    <row r="19" spans="1:8" ht="15" customHeight="1" x14ac:dyDescent="0.25">
      <c r="A19" s="94" t="s">
        <v>162</v>
      </c>
      <c r="B19" s="94" t="s">
        <v>112</v>
      </c>
      <c r="C19" s="94" t="s">
        <v>587</v>
      </c>
      <c r="D19" s="199" t="s">
        <v>588</v>
      </c>
      <c r="E19" s="199"/>
      <c r="F19" s="94" t="s">
        <v>212</v>
      </c>
      <c r="G19" s="97">
        <v>3</v>
      </c>
      <c r="H19" s="97">
        <v>0</v>
      </c>
    </row>
    <row r="20" spans="1:8" x14ac:dyDescent="0.3">
      <c r="A20" s="134"/>
      <c r="B20" s="134"/>
      <c r="C20" s="134"/>
      <c r="D20" s="135" t="s">
        <v>167</v>
      </c>
      <c r="E20" s="207"/>
      <c r="F20" s="207"/>
      <c r="G20" s="137">
        <v>3</v>
      </c>
      <c r="H20" s="134"/>
    </row>
    <row r="21" spans="1:8" ht="15" customHeight="1" x14ac:dyDescent="0.25">
      <c r="A21" s="94" t="s">
        <v>167</v>
      </c>
      <c r="B21" s="94" t="s">
        <v>112</v>
      </c>
      <c r="C21" s="94" t="s">
        <v>592</v>
      </c>
      <c r="D21" s="199" t="s">
        <v>593</v>
      </c>
      <c r="E21" s="199"/>
      <c r="F21" s="94" t="s">
        <v>594</v>
      </c>
      <c r="G21" s="97">
        <v>8</v>
      </c>
      <c r="H21" s="97">
        <v>0</v>
      </c>
    </row>
    <row r="22" spans="1:8" x14ac:dyDescent="0.3">
      <c r="A22" s="134"/>
      <c r="B22" s="134"/>
      <c r="C22" s="134"/>
      <c r="D22" s="135" t="s">
        <v>858</v>
      </c>
      <c r="E22" s="207"/>
      <c r="F22" s="207"/>
      <c r="G22" s="137">
        <v>8</v>
      </c>
      <c r="H22" s="134"/>
    </row>
    <row r="23" spans="1:8" ht="15" customHeight="1" x14ac:dyDescent="0.25">
      <c r="A23" s="94" t="s">
        <v>173</v>
      </c>
      <c r="B23" s="94" t="s">
        <v>112</v>
      </c>
      <c r="C23" s="94" t="s">
        <v>596</v>
      </c>
      <c r="D23" s="199" t="s">
        <v>597</v>
      </c>
      <c r="E23" s="199"/>
      <c r="F23" s="94" t="s">
        <v>594</v>
      </c>
      <c r="G23" s="97">
        <v>4</v>
      </c>
      <c r="H23" s="97">
        <v>0</v>
      </c>
    </row>
    <row r="24" spans="1:8" x14ac:dyDescent="0.3">
      <c r="A24" s="134"/>
      <c r="B24" s="134"/>
      <c r="C24" s="134"/>
      <c r="D24" s="135" t="s">
        <v>859</v>
      </c>
      <c r="E24" s="207"/>
      <c r="F24" s="207"/>
      <c r="G24" s="137">
        <v>4</v>
      </c>
      <c r="H24" s="134"/>
    </row>
    <row r="25" spans="1:8" ht="15" customHeight="1" x14ac:dyDescent="0.25">
      <c r="A25" s="94" t="s">
        <v>179</v>
      </c>
      <c r="B25" s="94" t="s">
        <v>112</v>
      </c>
      <c r="C25" s="94" t="s">
        <v>600</v>
      </c>
      <c r="D25" s="199" t="s">
        <v>601</v>
      </c>
      <c r="E25" s="199"/>
      <c r="F25" s="94" t="s">
        <v>287</v>
      </c>
      <c r="G25" s="97">
        <v>6</v>
      </c>
      <c r="H25" s="97">
        <v>0</v>
      </c>
    </row>
    <row r="26" spans="1:8" x14ac:dyDescent="0.3">
      <c r="A26" s="134"/>
      <c r="B26" s="134"/>
      <c r="C26" s="134"/>
      <c r="D26" s="135" t="s">
        <v>698</v>
      </c>
      <c r="E26" s="207"/>
      <c r="F26" s="207"/>
      <c r="G26" s="137">
        <v>6</v>
      </c>
      <c r="H26" s="134"/>
    </row>
    <row r="27" spans="1:8" ht="15" customHeight="1" x14ac:dyDescent="0.25">
      <c r="A27" s="94" t="s">
        <v>182</v>
      </c>
      <c r="B27" s="94" t="s">
        <v>112</v>
      </c>
      <c r="C27" s="94" t="s">
        <v>605</v>
      </c>
      <c r="D27" s="199" t="s">
        <v>606</v>
      </c>
      <c r="E27" s="199"/>
      <c r="F27" s="94" t="s">
        <v>155</v>
      </c>
      <c r="G27" s="97">
        <v>460</v>
      </c>
      <c r="H27" s="97">
        <v>0</v>
      </c>
    </row>
    <row r="28" spans="1:8" x14ac:dyDescent="0.3">
      <c r="A28" s="134"/>
      <c r="B28" s="134"/>
      <c r="C28" s="134"/>
      <c r="D28" s="135" t="s">
        <v>857</v>
      </c>
      <c r="E28" s="207"/>
      <c r="F28" s="207"/>
      <c r="G28" s="137">
        <v>460</v>
      </c>
      <c r="H28" s="134"/>
    </row>
    <row r="29" spans="1:8" ht="15" customHeight="1" x14ac:dyDescent="0.25">
      <c r="A29" s="105" t="s">
        <v>157</v>
      </c>
      <c r="B29" s="105" t="s">
        <v>112</v>
      </c>
      <c r="C29" s="105" t="s">
        <v>608</v>
      </c>
      <c r="D29" s="201" t="s">
        <v>609</v>
      </c>
      <c r="E29" s="201"/>
      <c r="F29" s="105" t="s">
        <v>155</v>
      </c>
      <c r="G29" s="108">
        <v>529</v>
      </c>
      <c r="H29" s="108">
        <v>0</v>
      </c>
    </row>
    <row r="30" spans="1:8" x14ac:dyDescent="0.3">
      <c r="A30" s="134"/>
      <c r="B30" s="134"/>
      <c r="C30" s="134"/>
      <c r="D30" s="135" t="s">
        <v>857</v>
      </c>
      <c r="E30" s="207"/>
      <c r="F30" s="207"/>
      <c r="G30" s="138">
        <v>460</v>
      </c>
      <c r="H30" s="134"/>
    </row>
    <row r="31" spans="1:8" ht="13.2" x14ac:dyDescent="0.25">
      <c r="A31" s="105"/>
      <c r="B31" s="105"/>
      <c r="C31" s="105"/>
      <c r="D31" s="135" t="s">
        <v>860</v>
      </c>
      <c r="E31" s="207"/>
      <c r="F31" s="207"/>
      <c r="G31" s="138">
        <v>69</v>
      </c>
      <c r="H31" s="110"/>
    </row>
    <row r="32" spans="1:8" ht="15" customHeight="1" x14ac:dyDescent="0.25">
      <c r="A32" s="94" t="s">
        <v>190</v>
      </c>
      <c r="B32" s="94" t="s">
        <v>112</v>
      </c>
      <c r="C32" s="94" t="s">
        <v>611</v>
      </c>
      <c r="D32" s="199" t="s">
        <v>612</v>
      </c>
      <c r="E32" s="199"/>
      <c r="F32" s="94" t="s">
        <v>155</v>
      </c>
      <c r="G32" s="97">
        <v>460</v>
      </c>
      <c r="H32" s="97">
        <v>0</v>
      </c>
    </row>
    <row r="33" spans="1:8" x14ac:dyDescent="0.3">
      <c r="A33" s="134"/>
      <c r="B33" s="134"/>
      <c r="C33" s="134"/>
      <c r="D33" s="135" t="s">
        <v>857</v>
      </c>
      <c r="E33" s="207"/>
      <c r="F33" s="207"/>
      <c r="G33" s="137">
        <v>460</v>
      </c>
      <c r="H33" s="134"/>
    </row>
    <row r="34" spans="1:8" ht="15" customHeight="1" x14ac:dyDescent="0.25">
      <c r="A34" s="94" t="s">
        <v>195</v>
      </c>
      <c r="B34" s="94" t="s">
        <v>112</v>
      </c>
      <c r="C34" s="94" t="s">
        <v>614</v>
      </c>
      <c r="D34" s="199" t="s">
        <v>615</v>
      </c>
      <c r="E34" s="199"/>
      <c r="F34" s="94" t="s">
        <v>155</v>
      </c>
      <c r="G34" s="97">
        <v>460</v>
      </c>
      <c r="H34" s="97">
        <v>0</v>
      </c>
    </row>
    <row r="35" spans="1:8" x14ac:dyDescent="0.3">
      <c r="A35" s="134"/>
      <c r="B35" s="134"/>
      <c r="C35" s="134"/>
      <c r="D35" s="135" t="s">
        <v>857</v>
      </c>
      <c r="E35" s="207"/>
      <c r="F35" s="207"/>
      <c r="G35" s="137">
        <v>460</v>
      </c>
      <c r="H35" s="134"/>
    </row>
    <row r="36" spans="1:8" ht="15" customHeight="1" x14ac:dyDescent="0.25">
      <c r="A36" s="94" t="s">
        <v>200</v>
      </c>
      <c r="B36" s="94" t="s">
        <v>112</v>
      </c>
      <c r="C36" s="94" t="s">
        <v>617</v>
      </c>
      <c r="D36" s="199" t="s">
        <v>618</v>
      </c>
      <c r="E36" s="199"/>
      <c r="F36" s="94" t="s">
        <v>155</v>
      </c>
      <c r="G36" s="97">
        <v>460</v>
      </c>
      <c r="H36" s="97">
        <v>0</v>
      </c>
    </row>
    <row r="37" spans="1:8" x14ac:dyDescent="0.3">
      <c r="A37" s="134"/>
      <c r="B37" s="134"/>
      <c r="C37" s="134"/>
      <c r="D37" s="135" t="s">
        <v>857</v>
      </c>
      <c r="E37" s="207"/>
      <c r="F37" s="207"/>
      <c r="G37" s="137">
        <v>460</v>
      </c>
      <c r="H37" s="134"/>
    </row>
    <row r="38" spans="1:8" ht="15" customHeight="1" x14ac:dyDescent="0.25">
      <c r="A38" s="94" t="s">
        <v>203</v>
      </c>
      <c r="B38" s="94" t="s">
        <v>112</v>
      </c>
      <c r="C38" s="94" t="s">
        <v>620</v>
      </c>
      <c r="D38" s="199" t="s">
        <v>621</v>
      </c>
      <c r="E38" s="199"/>
      <c r="F38" s="94" t="s">
        <v>323</v>
      </c>
      <c r="G38" s="97">
        <v>601.11599999999999</v>
      </c>
      <c r="H38" s="97">
        <v>0</v>
      </c>
    </row>
    <row r="39" spans="1:8" x14ac:dyDescent="0.3">
      <c r="A39" s="134"/>
      <c r="B39" s="134"/>
      <c r="C39" s="134"/>
      <c r="D39" s="135" t="s">
        <v>861</v>
      </c>
      <c r="E39" s="207"/>
      <c r="F39" s="207"/>
      <c r="G39" s="137">
        <v>601.11599999999999</v>
      </c>
      <c r="H39" s="134"/>
    </row>
    <row r="40" spans="1:8" ht="15" customHeight="1" x14ac:dyDescent="0.25">
      <c r="A40" s="94" t="s">
        <v>206</v>
      </c>
      <c r="B40" s="94" t="s">
        <v>112</v>
      </c>
      <c r="C40" s="94" t="s">
        <v>623</v>
      </c>
      <c r="D40" s="199" t="s">
        <v>624</v>
      </c>
      <c r="E40" s="199"/>
      <c r="F40" s="94" t="s">
        <v>323</v>
      </c>
      <c r="G40" s="97">
        <v>6008.52</v>
      </c>
      <c r="H40" s="97">
        <v>0</v>
      </c>
    </row>
    <row r="41" spans="1:8" x14ac:dyDescent="0.3">
      <c r="A41" s="134"/>
      <c r="B41" s="134"/>
      <c r="C41" s="134"/>
      <c r="D41" s="135" t="s">
        <v>862</v>
      </c>
      <c r="E41" s="207"/>
      <c r="F41" s="207"/>
      <c r="G41" s="137">
        <v>6008.52</v>
      </c>
      <c r="H41" s="134"/>
    </row>
    <row r="42" spans="1:8" ht="15" customHeight="1" x14ac:dyDescent="0.25">
      <c r="A42" s="94" t="s">
        <v>209</v>
      </c>
      <c r="B42" s="94" t="s">
        <v>112</v>
      </c>
      <c r="C42" s="94" t="s">
        <v>405</v>
      </c>
      <c r="D42" s="199" t="s">
        <v>626</v>
      </c>
      <c r="E42" s="199"/>
      <c r="F42" s="94" t="s">
        <v>323</v>
      </c>
      <c r="G42" s="97">
        <v>325.54199999999997</v>
      </c>
      <c r="H42" s="97">
        <v>0</v>
      </c>
    </row>
    <row r="43" spans="1:8" x14ac:dyDescent="0.3">
      <c r="A43" s="134"/>
      <c r="B43" s="134"/>
      <c r="C43" s="134"/>
      <c r="D43" s="135" t="s">
        <v>863</v>
      </c>
      <c r="E43" s="207"/>
      <c r="F43" s="207"/>
      <c r="G43" s="137">
        <v>325.54199999999997</v>
      </c>
      <c r="H43" s="134"/>
    </row>
    <row r="44" spans="1:8" ht="15" customHeight="1" x14ac:dyDescent="0.25">
      <c r="A44" s="94" t="s">
        <v>213</v>
      </c>
      <c r="B44" s="94" t="s">
        <v>112</v>
      </c>
      <c r="C44" s="94" t="s">
        <v>628</v>
      </c>
      <c r="D44" s="199" t="s">
        <v>629</v>
      </c>
      <c r="E44" s="199"/>
      <c r="F44" s="94" t="s">
        <v>155</v>
      </c>
      <c r="G44" s="97">
        <v>460</v>
      </c>
      <c r="H44" s="97">
        <v>0</v>
      </c>
    </row>
    <row r="45" spans="1:8" x14ac:dyDescent="0.3">
      <c r="A45" s="134"/>
      <c r="B45" s="134"/>
      <c r="C45" s="134"/>
      <c r="D45" s="135" t="s">
        <v>857</v>
      </c>
      <c r="E45" s="207"/>
      <c r="F45" s="207"/>
      <c r="G45" s="137">
        <v>460</v>
      </c>
      <c r="H45" s="134"/>
    </row>
    <row r="46" spans="1:8" ht="15" customHeight="1" x14ac:dyDescent="0.25">
      <c r="A46" s="94" t="s">
        <v>218</v>
      </c>
      <c r="B46" s="94" t="s">
        <v>112</v>
      </c>
      <c r="C46" s="94" t="s">
        <v>453</v>
      </c>
      <c r="D46" s="199" t="s">
        <v>454</v>
      </c>
      <c r="E46" s="199"/>
      <c r="F46" s="94" t="s">
        <v>323</v>
      </c>
      <c r="G46" s="97">
        <v>0.65800000000000003</v>
      </c>
      <c r="H46" s="97">
        <v>0</v>
      </c>
    </row>
    <row r="47" spans="1:8" x14ac:dyDescent="0.3">
      <c r="A47" s="134"/>
      <c r="B47" s="134"/>
      <c r="C47" s="134"/>
      <c r="D47" s="135" t="s">
        <v>864</v>
      </c>
      <c r="E47" s="207"/>
      <c r="F47" s="207"/>
      <c r="G47" s="137">
        <v>0.65800000000000003</v>
      </c>
      <c r="H47" s="134"/>
    </row>
    <row r="48" spans="1:8" ht="15" customHeight="1" x14ac:dyDescent="0.25">
      <c r="A48" s="94" t="s">
        <v>223</v>
      </c>
      <c r="B48" s="94" t="s">
        <v>112</v>
      </c>
      <c r="C48" s="94" t="s">
        <v>456</v>
      </c>
      <c r="D48" s="199" t="s">
        <v>457</v>
      </c>
      <c r="E48" s="199"/>
      <c r="F48" s="94" t="s">
        <v>323</v>
      </c>
      <c r="G48" s="97">
        <v>6.58</v>
      </c>
      <c r="H48" s="97">
        <v>0</v>
      </c>
    </row>
    <row r="49" spans="1:8" x14ac:dyDescent="0.3">
      <c r="A49" s="134"/>
      <c r="B49" s="134"/>
      <c r="C49" s="134"/>
      <c r="D49" s="135" t="s">
        <v>865</v>
      </c>
      <c r="E49" s="207"/>
      <c r="F49" s="207"/>
      <c r="G49" s="137">
        <v>6.58</v>
      </c>
      <c r="H49" s="134"/>
    </row>
    <row r="50" spans="1:8" ht="15" customHeight="1" x14ac:dyDescent="0.25">
      <c r="A50" s="94" t="s">
        <v>228</v>
      </c>
      <c r="B50" s="94" t="s">
        <v>112</v>
      </c>
      <c r="C50" s="94" t="s">
        <v>414</v>
      </c>
      <c r="D50" s="199" t="s">
        <v>415</v>
      </c>
      <c r="E50" s="199"/>
      <c r="F50" s="94" t="s">
        <v>323</v>
      </c>
      <c r="G50" s="97">
        <v>0.65800000000000003</v>
      </c>
      <c r="H50" s="97">
        <v>0</v>
      </c>
    </row>
    <row r="51" spans="1:8" x14ac:dyDescent="0.3">
      <c r="A51" s="134"/>
      <c r="B51" s="134"/>
      <c r="C51" s="134"/>
      <c r="D51" s="135" t="s">
        <v>866</v>
      </c>
      <c r="E51" s="207"/>
      <c r="F51" s="207"/>
      <c r="G51" s="137">
        <v>0.65800000000000003</v>
      </c>
      <c r="H51" s="134"/>
    </row>
    <row r="52" spans="1:8" ht="15" customHeight="1" x14ac:dyDescent="0.25">
      <c r="A52" s="94" t="s">
        <v>234</v>
      </c>
      <c r="B52" s="94" t="s">
        <v>112</v>
      </c>
      <c r="C52" s="94" t="s">
        <v>634</v>
      </c>
      <c r="D52" s="199" t="s">
        <v>635</v>
      </c>
      <c r="E52" s="199"/>
      <c r="F52" s="94" t="s">
        <v>176</v>
      </c>
      <c r="G52" s="97">
        <v>117.5</v>
      </c>
      <c r="H52" s="97">
        <v>0</v>
      </c>
    </row>
    <row r="53" spans="1:8" x14ac:dyDescent="0.3">
      <c r="A53" s="134"/>
      <c r="B53" s="134"/>
      <c r="C53" s="134"/>
      <c r="D53" s="135" t="s">
        <v>419</v>
      </c>
      <c r="E53" s="207" t="s">
        <v>867</v>
      </c>
      <c r="F53" s="207"/>
      <c r="G53" s="137">
        <v>70</v>
      </c>
      <c r="H53" s="134"/>
    </row>
    <row r="54" spans="1:8" ht="13.2" x14ac:dyDescent="0.25">
      <c r="A54" s="94"/>
      <c r="B54" s="94"/>
      <c r="C54" s="94"/>
      <c r="D54" s="135" t="s">
        <v>868</v>
      </c>
      <c r="E54" s="207" t="s">
        <v>869</v>
      </c>
      <c r="F54" s="207"/>
      <c r="G54" s="137">
        <v>47.5</v>
      </c>
      <c r="H54" s="99"/>
    </row>
    <row r="55" spans="1:8" ht="15" customHeight="1" x14ac:dyDescent="0.25">
      <c r="A55" s="94" t="s">
        <v>239</v>
      </c>
      <c r="B55" s="94" t="s">
        <v>112</v>
      </c>
      <c r="C55" s="94" t="s">
        <v>638</v>
      </c>
      <c r="D55" s="199" t="s">
        <v>639</v>
      </c>
      <c r="E55" s="199"/>
      <c r="F55" s="94" t="s">
        <v>176</v>
      </c>
      <c r="G55" s="97">
        <v>117.5</v>
      </c>
      <c r="H55" s="97">
        <v>0</v>
      </c>
    </row>
    <row r="56" spans="1:8" x14ac:dyDescent="0.3">
      <c r="A56" s="134"/>
      <c r="B56" s="134"/>
      <c r="C56" s="134"/>
      <c r="D56" s="135" t="s">
        <v>870</v>
      </c>
      <c r="E56" s="207"/>
      <c r="F56" s="207"/>
      <c r="G56" s="137">
        <v>117.5</v>
      </c>
      <c r="H56" s="134"/>
    </row>
    <row r="57" spans="1:8" ht="24" customHeight="1" x14ac:dyDescent="0.25">
      <c r="A57" s="105" t="s">
        <v>244</v>
      </c>
      <c r="B57" s="105" t="s">
        <v>112</v>
      </c>
      <c r="C57" s="105" t="s">
        <v>641</v>
      </c>
      <c r="D57" s="201" t="s">
        <v>642</v>
      </c>
      <c r="E57" s="201"/>
      <c r="F57" s="105" t="s">
        <v>212</v>
      </c>
      <c r="G57" s="108">
        <v>38</v>
      </c>
      <c r="H57" s="108">
        <v>0</v>
      </c>
    </row>
    <row r="58" spans="1:8" x14ac:dyDescent="0.3">
      <c r="A58" s="134"/>
      <c r="B58" s="134"/>
      <c r="C58" s="134"/>
      <c r="D58" s="135" t="s">
        <v>311</v>
      </c>
      <c r="E58" s="207"/>
      <c r="F58" s="207"/>
      <c r="G58" s="138">
        <v>38</v>
      </c>
      <c r="H58" s="134"/>
    </row>
    <row r="59" spans="1:8" ht="15" customHeight="1" x14ac:dyDescent="0.25">
      <c r="A59" s="105" t="s">
        <v>250</v>
      </c>
      <c r="B59" s="105" t="s">
        <v>112</v>
      </c>
      <c r="C59" s="105" t="s">
        <v>644</v>
      </c>
      <c r="D59" s="201" t="s">
        <v>645</v>
      </c>
      <c r="E59" s="201"/>
      <c r="F59" s="105" t="s">
        <v>212</v>
      </c>
      <c r="G59" s="108">
        <v>2</v>
      </c>
      <c r="H59" s="108">
        <v>0</v>
      </c>
    </row>
    <row r="60" spans="1:8" x14ac:dyDescent="0.3">
      <c r="A60" s="134"/>
      <c r="B60" s="134"/>
      <c r="C60" s="134"/>
      <c r="D60" s="135" t="s">
        <v>162</v>
      </c>
      <c r="E60" s="207"/>
      <c r="F60" s="207"/>
      <c r="G60" s="138">
        <v>2</v>
      </c>
      <c r="H60" s="134"/>
    </row>
    <row r="61" spans="1:8" ht="24" customHeight="1" x14ac:dyDescent="0.25">
      <c r="A61" s="105" t="s">
        <v>254</v>
      </c>
      <c r="B61" s="105" t="s">
        <v>112</v>
      </c>
      <c r="C61" s="105" t="s">
        <v>647</v>
      </c>
      <c r="D61" s="201" t="s">
        <v>648</v>
      </c>
      <c r="E61" s="201"/>
      <c r="F61" s="105" t="s">
        <v>212</v>
      </c>
      <c r="G61" s="108">
        <v>40</v>
      </c>
      <c r="H61" s="108">
        <v>0</v>
      </c>
    </row>
    <row r="62" spans="1:8" x14ac:dyDescent="0.3">
      <c r="A62" s="134"/>
      <c r="B62" s="134"/>
      <c r="C62" s="134"/>
      <c r="D62" s="135" t="s">
        <v>871</v>
      </c>
      <c r="E62" s="207"/>
      <c r="F62" s="207"/>
      <c r="G62" s="138">
        <v>40</v>
      </c>
      <c r="H62" s="134"/>
    </row>
    <row r="63" spans="1:8" ht="24" customHeight="1" x14ac:dyDescent="0.25">
      <c r="A63" s="105" t="s">
        <v>257</v>
      </c>
      <c r="B63" s="105" t="s">
        <v>112</v>
      </c>
      <c r="C63" s="105" t="s">
        <v>650</v>
      </c>
      <c r="D63" s="201" t="s">
        <v>651</v>
      </c>
      <c r="E63" s="201"/>
      <c r="F63" s="105" t="s">
        <v>212</v>
      </c>
      <c r="G63" s="108">
        <v>1</v>
      </c>
      <c r="H63" s="108">
        <v>0</v>
      </c>
    </row>
    <row r="64" spans="1:8" x14ac:dyDescent="0.3">
      <c r="A64" s="134"/>
      <c r="B64" s="134"/>
      <c r="C64" s="134"/>
      <c r="D64" s="135" t="s">
        <v>152</v>
      </c>
      <c r="E64" s="207"/>
      <c r="F64" s="207"/>
      <c r="G64" s="138">
        <v>1</v>
      </c>
      <c r="H64" s="134"/>
    </row>
    <row r="65" spans="1:8" ht="24" customHeight="1" x14ac:dyDescent="0.25">
      <c r="A65" s="105" t="s">
        <v>260</v>
      </c>
      <c r="B65" s="105" t="s">
        <v>112</v>
      </c>
      <c r="C65" s="105" t="s">
        <v>653</v>
      </c>
      <c r="D65" s="201" t="s">
        <v>654</v>
      </c>
      <c r="E65" s="201"/>
      <c r="F65" s="105" t="s">
        <v>212</v>
      </c>
      <c r="G65" s="108">
        <v>80</v>
      </c>
      <c r="H65" s="108">
        <v>0</v>
      </c>
    </row>
    <row r="66" spans="1:8" x14ac:dyDescent="0.3">
      <c r="A66" s="134"/>
      <c r="B66" s="134"/>
      <c r="C66" s="134"/>
      <c r="D66" s="135" t="s">
        <v>872</v>
      </c>
      <c r="E66" s="207"/>
      <c r="F66" s="207"/>
      <c r="G66" s="138">
        <v>80</v>
      </c>
      <c r="H66" s="134"/>
    </row>
    <row r="67" spans="1:8" ht="15" customHeight="1" x14ac:dyDescent="0.25">
      <c r="A67" s="105" t="s">
        <v>263</v>
      </c>
      <c r="B67" s="105" t="s">
        <v>112</v>
      </c>
      <c r="C67" s="105" t="s">
        <v>656</v>
      </c>
      <c r="D67" s="201" t="s">
        <v>657</v>
      </c>
      <c r="E67" s="201"/>
      <c r="F67" s="105" t="s">
        <v>212</v>
      </c>
      <c r="G67" s="108">
        <v>4</v>
      </c>
      <c r="H67" s="108">
        <v>0</v>
      </c>
    </row>
    <row r="68" spans="1:8" x14ac:dyDescent="0.3">
      <c r="A68" s="134"/>
      <c r="B68" s="134"/>
      <c r="C68" s="134"/>
      <c r="D68" s="135" t="s">
        <v>173</v>
      </c>
      <c r="E68" s="207"/>
      <c r="F68" s="207"/>
      <c r="G68" s="138">
        <v>4</v>
      </c>
      <c r="H68" s="134"/>
    </row>
    <row r="69" spans="1:8" ht="15" customHeight="1" x14ac:dyDescent="0.25">
      <c r="A69" s="94" t="s">
        <v>268</v>
      </c>
      <c r="B69" s="94" t="s">
        <v>112</v>
      </c>
      <c r="C69" s="94" t="s">
        <v>659</v>
      </c>
      <c r="D69" s="199" t="s">
        <v>660</v>
      </c>
      <c r="E69" s="199"/>
      <c r="F69" s="94" t="s">
        <v>323</v>
      </c>
      <c r="G69" s="97">
        <v>2.8559999999999999</v>
      </c>
      <c r="H69" s="97">
        <v>0</v>
      </c>
    </row>
    <row r="70" spans="1:8" x14ac:dyDescent="0.3">
      <c r="A70" s="134"/>
      <c r="B70" s="134"/>
      <c r="C70" s="134"/>
      <c r="D70" s="135" t="s">
        <v>873</v>
      </c>
      <c r="E70" s="207"/>
      <c r="F70" s="207"/>
      <c r="G70" s="137">
        <v>2.8559999999999999</v>
      </c>
      <c r="H70" s="134"/>
    </row>
    <row r="71" spans="1:8" ht="15" customHeight="1" x14ac:dyDescent="0.25">
      <c r="A71" s="94" t="s">
        <v>272</v>
      </c>
      <c r="B71" s="94" t="s">
        <v>112</v>
      </c>
      <c r="C71" s="94" t="s">
        <v>664</v>
      </c>
      <c r="D71" s="199" t="s">
        <v>665</v>
      </c>
      <c r="E71" s="199"/>
      <c r="F71" s="94" t="s">
        <v>323</v>
      </c>
      <c r="G71" s="97">
        <v>5.25</v>
      </c>
      <c r="H71" s="97">
        <v>0</v>
      </c>
    </row>
    <row r="72" spans="1:8" x14ac:dyDescent="0.3">
      <c r="A72" s="134"/>
      <c r="B72" s="134"/>
      <c r="C72" s="134"/>
      <c r="D72" s="135" t="s">
        <v>874</v>
      </c>
      <c r="E72" s="207"/>
      <c r="F72" s="207"/>
      <c r="G72" s="137">
        <v>5.25</v>
      </c>
      <c r="H72" s="134"/>
    </row>
    <row r="73" spans="1:8" ht="15" customHeight="1" x14ac:dyDescent="0.25">
      <c r="A73" s="94" t="s">
        <v>277</v>
      </c>
      <c r="B73" s="94" t="s">
        <v>112</v>
      </c>
      <c r="C73" s="94" t="s">
        <v>669</v>
      </c>
      <c r="D73" s="199" t="s">
        <v>670</v>
      </c>
      <c r="E73" s="199"/>
      <c r="F73" s="94" t="s">
        <v>323</v>
      </c>
      <c r="G73" s="97">
        <v>52.5</v>
      </c>
      <c r="H73" s="97">
        <v>0</v>
      </c>
    </row>
    <row r="74" spans="1:8" x14ac:dyDescent="0.3">
      <c r="A74" s="134"/>
      <c r="B74" s="134"/>
      <c r="C74" s="134"/>
      <c r="D74" s="135" t="s">
        <v>875</v>
      </c>
      <c r="E74" s="207"/>
      <c r="F74" s="207"/>
      <c r="G74" s="137">
        <v>52.5</v>
      </c>
      <c r="H74" s="134"/>
    </row>
    <row r="75" spans="1:8" ht="15" customHeight="1" x14ac:dyDescent="0.25">
      <c r="A75" s="94" t="s">
        <v>284</v>
      </c>
      <c r="B75" s="94" t="s">
        <v>112</v>
      </c>
      <c r="C75" s="94" t="s">
        <v>672</v>
      </c>
      <c r="D75" s="199" t="s">
        <v>673</v>
      </c>
      <c r="E75" s="199"/>
      <c r="F75" s="94" t="s">
        <v>674</v>
      </c>
      <c r="G75" s="97">
        <v>1</v>
      </c>
      <c r="H75" s="97">
        <v>0</v>
      </c>
    </row>
    <row r="76" spans="1:8" x14ac:dyDescent="0.3">
      <c r="A76" s="134"/>
      <c r="B76" s="134"/>
      <c r="C76" s="134"/>
      <c r="D76" s="135" t="s">
        <v>152</v>
      </c>
      <c r="E76" s="207"/>
      <c r="F76" s="207"/>
      <c r="G76" s="137">
        <v>1</v>
      </c>
      <c r="H76" s="134"/>
    </row>
    <row r="77" spans="1:8" ht="15" customHeight="1" x14ac:dyDescent="0.25">
      <c r="A77" s="94" t="s">
        <v>290</v>
      </c>
      <c r="B77" s="94" t="s">
        <v>112</v>
      </c>
      <c r="C77" s="94" t="s">
        <v>676</v>
      </c>
      <c r="D77" s="199" t="s">
        <v>677</v>
      </c>
      <c r="E77" s="199"/>
      <c r="F77" s="94" t="s">
        <v>674</v>
      </c>
      <c r="G77" s="97">
        <v>1</v>
      </c>
      <c r="H77" s="97">
        <v>0</v>
      </c>
    </row>
    <row r="78" spans="1:8" x14ac:dyDescent="0.3">
      <c r="A78" s="134"/>
      <c r="B78" s="134"/>
      <c r="C78" s="134"/>
      <c r="D78" s="135" t="s">
        <v>152</v>
      </c>
      <c r="E78" s="207"/>
      <c r="F78" s="207"/>
      <c r="G78" s="137">
        <v>1</v>
      </c>
      <c r="H78" s="134"/>
    </row>
    <row r="79" spans="1:8" ht="15" customHeight="1" x14ac:dyDescent="0.25">
      <c r="A79" s="94" t="s">
        <v>292</v>
      </c>
      <c r="B79" s="94" t="s">
        <v>112</v>
      </c>
      <c r="C79" s="94" t="s">
        <v>679</v>
      </c>
      <c r="D79" s="199" t="s">
        <v>680</v>
      </c>
      <c r="E79" s="199"/>
      <c r="F79" s="94" t="s">
        <v>212</v>
      </c>
      <c r="G79" s="97">
        <v>1</v>
      </c>
      <c r="H79" s="97">
        <v>0</v>
      </c>
    </row>
    <row r="80" spans="1:8" x14ac:dyDescent="0.3">
      <c r="A80" s="134"/>
      <c r="B80" s="134"/>
      <c r="C80" s="134"/>
      <c r="D80" s="135" t="s">
        <v>152</v>
      </c>
      <c r="E80" s="207"/>
      <c r="F80" s="207"/>
      <c r="G80" s="137">
        <v>1</v>
      </c>
      <c r="H80" s="134"/>
    </row>
    <row r="81" spans="1:8" ht="15" customHeight="1" x14ac:dyDescent="0.25">
      <c r="A81" s="105" t="s">
        <v>294</v>
      </c>
      <c r="B81" s="105" t="s">
        <v>112</v>
      </c>
      <c r="C81" s="105" t="s">
        <v>682</v>
      </c>
      <c r="D81" s="201" t="s">
        <v>683</v>
      </c>
      <c r="E81" s="201"/>
      <c r="F81" s="105" t="s">
        <v>212</v>
      </c>
      <c r="G81" s="108">
        <v>1</v>
      </c>
      <c r="H81" s="108">
        <v>0</v>
      </c>
    </row>
    <row r="82" spans="1:8" x14ac:dyDescent="0.3">
      <c r="A82" s="134"/>
      <c r="B82" s="134"/>
      <c r="C82" s="134"/>
      <c r="D82" s="135" t="s">
        <v>152</v>
      </c>
      <c r="E82" s="207"/>
      <c r="F82" s="207"/>
      <c r="G82" s="138">
        <v>1</v>
      </c>
      <c r="H82" s="134"/>
    </row>
    <row r="84" spans="1:8" x14ac:dyDescent="0.3">
      <c r="A84"/>
    </row>
    <row r="85" spans="1:8" hidden="1" x14ac:dyDescent="0.3">
      <c r="A85" s="8"/>
      <c r="B85" s="8"/>
      <c r="C85" s="8"/>
      <c r="D85" s="8"/>
      <c r="E85" s="8"/>
      <c r="F85" s="8"/>
      <c r="G85" s="8"/>
    </row>
  </sheetData>
  <mergeCells count="91">
    <mergeCell ref="D81:E81"/>
    <mergeCell ref="E82:F82"/>
    <mergeCell ref="A85:G85"/>
    <mergeCell ref="E76:F76"/>
    <mergeCell ref="D77:E77"/>
    <mergeCell ref="E78:F78"/>
    <mergeCell ref="D79:E79"/>
    <mergeCell ref="E80:F80"/>
    <mergeCell ref="D71:E71"/>
    <mergeCell ref="E72:F72"/>
    <mergeCell ref="D73:E73"/>
    <mergeCell ref="E74:F74"/>
    <mergeCell ref="D75:E75"/>
    <mergeCell ref="E66:F66"/>
    <mergeCell ref="D67:E67"/>
    <mergeCell ref="E68:F68"/>
    <mergeCell ref="D69:E69"/>
    <mergeCell ref="E70:F70"/>
    <mergeCell ref="D61:E61"/>
    <mergeCell ref="E62:F62"/>
    <mergeCell ref="D63:E63"/>
    <mergeCell ref="E64:F64"/>
    <mergeCell ref="D65:E65"/>
    <mergeCell ref="E56:F56"/>
    <mergeCell ref="D57:E57"/>
    <mergeCell ref="E58:F58"/>
    <mergeCell ref="D59:E59"/>
    <mergeCell ref="E60:F60"/>
    <mergeCell ref="E51:F51"/>
    <mergeCell ref="D52:E52"/>
    <mergeCell ref="E53:F53"/>
    <mergeCell ref="E54:F54"/>
    <mergeCell ref="D55:E55"/>
    <mergeCell ref="D46:E46"/>
    <mergeCell ref="E47:F47"/>
    <mergeCell ref="D48:E48"/>
    <mergeCell ref="E49:F49"/>
    <mergeCell ref="D50:E50"/>
    <mergeCell ref="E41:F41"/>
    <mergeCell ref="D42:E42"/>
    <mergeCell ref="E43:F43"/>
    <mergeCell ref="D44:E44"/>
    <mergeCell ref="E45:F45"/>
    <mergeCell ref="D36:E36"/>
    <mergeCell ref="E37:F37"/>
    <mergeCell ref="D38:E38"/>
    <mergeCell ref="E39:F39"/>
    <mergeCell ref="D40:E40"/>
    <mergeCell ref="E31:F31"/>
    <mergeCell ref="D32:E32"/>
    <mergeCell ref="E33:F33"/>
    <mergeCell ref="D34:E34"/>
    <mergeCell ref="E35:F35"/>
    <mergeCell ref="E26:F26"/>
    <mergeCell ref="D27:E27"/>
    <mergeCell ref="E28:F28"/>
    <mergeCell ref="D29:E29"/>
    <mergeCell ref="E30:F30"/>
    <mergeCell ref="D21:E21"/>
    <mergeCell ref="E22:F22"/>
    <mergeCell ref="D23:E23"/>
    <mergeCell ref="E24:F24"/>
    <mergeCell ref="D25:E25"/>
    <mergeCell ref="D16:E16"/>
    <mergeCell ref="D17:E17"/>
    <mergeCell ref="E18:F18"/>
    <mergeCell ref="D19:E19"/>
    <mergeCell ref="E20:F20"/>
    <mergeCell ref="D11:E11"/>
    <mergeCell ref="D12:E12"/>
    <mergeCell ref="D13:E13"/>
    <mergeCell ref="D14:E14"/>
    <mergeCell ref="D15:E15"/>
    <mergeCell ref="A8:B9"/>
    <mergeCell ref="C8:D9"/>
    <mergeCell ref="E8:E9"/>
    <mergeCell ref="F8:H9"/>
    <mergeCell ref="D10:E10"/>
    <mergeCell ref="A4:B5"/>
    <mergeCell ref="C4:D5"/>
    <mergeCell ref="E4:E5"/>
    <mergeCell ref="F4:H5"/>
    <mergeCell ref="A6:B7"/>
    <mergeCell ref="C6:D7"/>
    <mergeCell ref="E6:E7"/>
    <mergeCell ref="F6:H7"/>
    <mergeCell ref="A1:H1"/>
    <mergeCell ref="A2:B3"/>
    <mergeCell ref="C2:D3"/>
    <mergeCell ref="E2:E3"/>
    <mergeCell ref="F2:H3"/>
  </mergeCells>
  <pageMargins left="0.39374999999999999" right="0.39374999999999999" top="0.59097222222222201" bottom="0.59097222222222201" header="0.511811023622047" footer="0.511811023622047"/>
  <pageSetup fitToHeight="0"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6"/>
  <sheetViews>
    <sheetView zoomScaleNormal="100" workbookViewId="0">
      <selection activeCell="A36" sqref="A36"/>
    </sheetView>
  </sheetViews>
  <sheetFormatPr defaultColWidth="12.109375" defaultRowHeight="14.4" x14ac:dyDescent="0.3"/>
  <cols>
    <col min="1" max="1" width="9.109375" style="22" customWidth="1"/>
    <col min="2" max="2" width="12.88671875" style="22" customWidth="1"/>
    <col min="3" max="3" width="22.88671875" style="22" customWidth="1"/>
    <col min="4" max="4" width="10" style="22" customWidth="1"/>
    <col min="5" max="5" width="14" style="22" customWidth="1"/>
    <col min="6" max="6" width="22.88671875" style="22" customWidth="1"/>
    <col min="7" max="7" width="9.109375" style="22" customWidth="1"/>
    <col min="8" max="8" width="17.109375" style="22" customWidth="1"/>
    <col min="9" max="9" width="22.88671875" style="22" customWidth="1"/>
  </cols>
  <sheetData>
    <row r="1" spans="1:9" ht="54.75" customHeight="1" x14ac:dyDescent="0.25">
      <c r="A1" s="172" t="s">
        <v>74</v>
      </c>
      <c r="B1" s="172"/>
      <c r="C1" s="172"/>
      <c r="D1" s="172"/>
      <c r="E1" s="172"/>
      <c r="F1" s="172"/>
      <c r="G1" s="172"/>
      <c r="H1" s="172"/>
      <c r="I1" s="172"/>
    </row>
    <row r="2" spans="1:9" ht="15" customHeight="1" x14ac:dyDescent="0.25">
      <c r="A2" s="13" t="s">
        <v>1</v>
      </c>
      <c r="B2" s="13"/>
      <c r="C2" s="12" t="str">
        <f>'Stavební rozpočet'!D2</f>
        <v>DEMOLICE PANELOVÉHO DOMU V HORNÍM PARKU</v>
      </c>
      <c r="D2" s="12"/>
      <c r="E2" s="11" t="s">
        <v>2</v>
      </c>
      <c r="F2" s="11" t="str">
        <f>'Stavební rozpočet'!J2</f>
        <v>MĚSTO ZNOJMO</v>
      </c>
      <c r="G2" s="11"/>
      <c r="H2" s="11" t="s">
        <v>3</v>
      </c>
      <c r="I2" s="10"/>
    </row>
    <row r="3" spans="1:9" ht="15" customHeight="1" x14ac:dyDescent="0.25">
      <c r="A3" s="13"/>
      <c r="B3" s="13"/>
      <c r="C3" s="12"/>
      <c r="D3" s="12"/>
      <c r="E3" s="11"/>
      <c r="F3" s="11"/>
      <c r="G3" s="11"/>
      <c r="H3" s="11"/>
      <c r="I3" s="10"/>
    </row>
    <row r="4" spans="1:9" ht="15" customHeight="1" x14ac:dyDescent="0.25">
      <c r="A4" s="9" t="s">
        <v>4</v>
      </c>
      <c r="B4" s="9"/>
      <c r="C4" s="8" t="str">
        <f>'Stavební rozpočet'!D4</f>
        <v>Postupná demolice panelového domu</v>
      </c>
      <c r="D4" s="8"/>
      <c r="E4" s="8" t="s">
        <v>5</v>
      </c>
      <c r="F4" s="8" t="str">
        <f>'Stavební rozpočet'!J4</f>
        <v>Ing.  Roman Zvěřina, Dolní Česká 358/25, 669 02 Znojmo</v>
      </c>
      <c r="G4" s="8"/>
      <c r="H4" s="8" t="s">
        <v>3</v>
      </c>
      <c r="I4" s="7" t="s">
        <v>6</v>
      </c>
    </row>
    <row r="5" spans="1:9" ht="15" customHeight="1" x14ac:dyDescent="0.25">
      <c r="A5" s="9"/>
      <c r="B5" s="9"/>
      <c r="C5" s="8"/>
      <c r="D5" s="8"/>
      <c r="E5" s="8"/>
      <c r="F5" s="8"/>
      <c r="G5" s="8"/>
      <c r="H5" s="8"/>
      <c r="I5" s="7"/>
    </row>
    <row r="6" spans="1:9" ht="15" customHeight="1" x14ac:dyDescent="0.25">
      <c r="A6" s="9" t="s">
        <v>7</v>
      </c>
      <c r="B6" s="9"/>
      <c r="C6" s="8" t="str">
        <f>'Stavební rozpočet'!D6</f>
        <v>k.ú.Znojmo-město parc.č.258/5</v>
      </c>
      <c r="D6" s="8"/>
      <c r="E6" s="8" t="s">
        <v>8</v>
      </c>
      <c r="F6" s="8" t="str">
        <f>'Stavební rozpočet'!J6</f>
        <v> </v>
      </c>
      <c r="G6" s="8"/>
      <c r="H6" s="8" t="s">
        <v>3</v>
      </c>
      <c r="I6" s="7"/>
    </row>
    <row r="7" spans="1:9" ht="15" customHeight="1" x14ac:dyDescent="0.25">
      <c r="A7" s="9"/>
      <c r="B7" s="9"/>
      <c r="C7" s="8"/>
      <c r="D7" s="8"/>
      <c r="E7" s="8"/>
      <c r="F7" s="8"/>
      <c r="G7" s="8"/>
      <c r="H7" s="8"/>
      <c r="I7" s="7"/>
    </row>
    <row r="8" spans="1:9" ht="15" customHeight="1" x14ac:dyDescent="0.25">
      <c r="A8" s="9" t="s">
        <v>9</v>
      </c>
      <c r="B8" s="9"/>
      <c r="C8" s="8" t="str">
        <f>'Stavební rozpočet'!H4</f>
        <v xml:space="preserve"> </v>
      </c>
      <c r="D8" s="8"/>
      <c r="E8" s="8" t="s">
        <v>10</v>
      </c>
      <c r="F8" s="8" t="str">
        <f>'Stavební rozpočet'!H6</f>
        <v xml:space="preserve"> </v>
      </c>
      <c r="G8" s="8"/>
      <c r="H8" s="6" t="s">
        <v>11</v>
      </c>
      <c r="I8" s="5">
        <v>159</v>
      </c>
    </row>
    <row r="9" spans="1:9" ht="13.2" x14ac:dyDescent="0.25">
      <c r="A9" s="9"/>
      <c r="B9" s="9"/>
      <c r="C9" s="8"/>
      <c r="D9" s="8"/>
      <c r="E9" s="8"/>
      <c r="F9" s="8"/>
      <c r="G9" s="8"/>
      <c r="H9" s="6"/>
      <c r="I9" s="5"/>
    </row>
    <row r="10" spans="1:9" ht="15" customHeight="1" x14ac:dyDescent="0.25">
      <c r="A10" s="4" t="s">
        <v>12</v>
      </c>
      <c r="B10" s="4"/>
      <c r="C10" s="3" t="str">
        <f>'Stavební rozpočet'!D8</f>
        <v>80331</v>
      </c>
      <c r="D10" s="3"/>
      <c r="E10" s="3" t="s">
        <v>13</v>
      </c>
      <c r="F10" s="3" t="str">
        <f>'Stavební rozpočet'!J8</f>
        <v>Bohuslav Hemala</v>
      </c>
      <c r="G10" s="3"/>
      <c r="H10" s="2" t="s">
        <v>14</v>
      </c>
      <c r="I10" s="1" t="str">
        <f>'Stavební rozpočet'!H8</f>
        <v>16.05.2025</v>
      </c>
    </row>
    <row r="11" spans="1:9" ht="13.2" x14ac:dyDescent="0.25">
      <c r="A11" s="4"/>
      <c r="B11" s="4"/>
      <c r="C11" s="3"/>
      <c r="D11" s="3"/>
      <c r="E11" s="3"/>
      <c r="F11" s="3"/>
      <c r="G11" s="3"/>
      <c r="H11" s="2"/>
      <c r="I11" s="1"/>
    </row>
    <row r="13" spans="1:9" ht="15.6" x14ac:dyDescent="0.3">
      <c r="A13" s="173" t="s">
        <v>75</v>
      </c>
      <c r="B13" s="173"/>
      <c r="C13" s="173"/>
      <c r="D13" s="173"/>
      <c r="E13" s="173"/>
    </row>
    <row r="14" spans="1:9" ht="13.2" x14ac:dyDescent="0.25">
      <c r="A14" s="174" t="s">
        <v>76</v>
      </c>
      <c r="B14" s="174"/>
      <c r="C14" s="174"/>
      <c r="D14" s="174"/>
      <c r="E14" s="174"/>
      <c r="F14" s="39" t="s">
        <v>77</v>
      </c>
      <c r="G14" s="39" t="s">
        <v>78</v>
      </c>
      <c r="H14" s="39" t="s">
        <v>79</v>
      </c>
      <c r="I14" s="39" t="s">
        <v>77</v>
      </c>
    </row>
    <row r="15" spans="1:9" ht="13.2" x14ac:dyDescent="0.25">
      <c r="A15" s="175" t="s">
        <v>38</v>
      </c>
      <c r="B15" s="175"/>
      <c r="C15" s="175"/>
      <c r="D15" s="175"/>
      <c r="E15" s="175"/>
      <c r="F15" s="40">
        <v>0</v>
      </c>
      <c r="G15" s="41"/>
      <c r="H15" s="41"/>
      <c r="I15" s="40">
        <f>F15</f>
        <v>0</v>
      </c>
    </row>
    <row r="16" spans="1:9" ht="13.2" x14ac:dyDescent="0.25">
      <c r="A16" s="175" t="s">
        <v>40</v>
      </c>
      <c r="B16" s="175"/>
      <c r="C16" s="175"/>
      <c r="D16" s="175"/>
      <c r="E16" s="175"/>
      <c r="F16" s="40">
        <v>0</v>
      </c>
      <c r="G16" s="41"/>
      <c r="H16" s="41"/>
      <c r="I16" s="40">
        <f>F16</f>
        <v>0</v>
      </c>
    </row>
    <row r="17" spans="1:9" ht="13.2" x14ac:dyDescent="0.25">
      <c r="A17" s="176" t="s">
        <v>42</v>
      </c>
      <c r="B17" s="176"/>
      <c r="C17" s="176"/>
      <c r="D17" s="176"/>
      <c r="E17" s="176"/>
      <c r="F17" s="42">
        <v>0</v>
      </c>
      <c r="G17" s="17"/>
      <c r="H17" s="17"/>
      <c r="I17" s="42">
        <f>F17</f>
        <v>0</v>
      </c>
    </row>
    <row r="18" spans="1:9" ht="13.2" x14ac:dyDescent="0.25">
      <c r="A18" s="177" t="s">
        <v>80</v>
      </c>
      <c r="B18" s="177"/>
      <c r="C18" s="177"/>
      <c r="D18" s="177"/>
      <c r="E18" s="177"/>
      <c r="F18" s="43"/>
      <c r="G18" s="44"/>
      <c r="H18" s="44"/>
      <c r="I18" s="45">
        <f>SUM(I15:I17)</f>
        <v>0</v>
      </c>
    </row>
    <row r="20" spans="1:9" ht="13.2" x14ac:dyDescent="0.25">
      <c r="A20" s="174" t="s">
        <v>81</v>
      </c>
      <c r="B20" s="174"/>
      <c r="C20" s="174"/>
      <c r="D20" s="174"/>
      <c r="E20" s="174"/>
      <c r="F20" s="39" t="s">
        <v>77</v>
      </c>
      <c r="G20" s="39" t="s">
        <v>78</v>
      </c>
      <c r="H20" s="39" t="s">
        <v>79</v>
      </c>
      <c r="I20" s="39" t="s">
        <v>77</v>
      </c>
    </row>
    <row r="21" spans="1:9" ht="13.2" x14ac:dyDescent="0.25">
      <c r="A21" s="175" t="s">
        <v>82</v>
      </c>
      <c r="B21" s="175"/>
      <c r="C21" s="175"/>
      <c r="D21" s="175"/>
      <c r="E21" s="175"/>
      <c r="F21" s="40">
        <v>0</v>
      </c>
      <c r="G21" s="41"/>
      <c r="H21" s="41"/>
      <c r="I21" s="40">
        <f t="shared" ref="I21:I26" si="0">F21</f>
        <v>0</v>
      </c>
    </row>
    <row r="22" spans="1:9" ht="13.2" x14ac:dyDescent="0.25">
      <c r="A22" s="175" t="s">
        <v>83</v>
      </c>
      <c r="B22" s="175"/>
      <c r="C22" s="175"/>
      <c r="D22" s="175"/>
      <c r="E22" s="175"/>
      <c r="F22" s="40">
        <v>0</v>
      </c>
      <c r="G22" s="41"/>
      <c r="H22" s="41"/>
      <c r="I22" s="40">
        <f t="shared" si="0"/>
        <v>0</v>
      </c>
    </row>
    <row r="23" spans="1:9" ht="13.2" x14ac:dyDescent="0.25">
      <c r="A23" s="175" t="s">
        <v>84</v>
      </c>
      <c r="B23" s="175"/>
      <c r="C23" s="175"/>
      <c r="D23" s="175"/>
      <c r="E23" s="175"/>
      <c r="F23" s="40">
        <v>0</v>
      </c>
      <c r="G23" s="41"/>
      <c r="H23" s="41"/>
      <c r="I23" s="40">
        <f t="shared" si="0"/>
        <v>0</v>
      </c>
    </row>
    <row r="24" spans="1:9" ht="13.2" x14ac:dyDescent="0.25">
      <c r="A24" s="175" t="s">
        <v>85</v>
      </c>
      <c r="B24" s="175"/>
      <c r="C24" s="175"/>
      <c r="D24" s="175"/>
      <c r="E24" s="175"/>
      <c r="F24" s="40">
        <v>0</v>
      </c>
      <c r="G24" s="41"/>
      <c r="H24" s="41"/>
      <c r="I24" s="40">
        <f t="shared" si="0"/>
        <v>0</v>
      </c>
    </row>
    <row r="25" spans="1:9" ht="13.2" x14ac:dyDescent="0.25">
      <c r="A25" s="175" t="s">
        <v>86</v>
      </c>
      <c r="B25" s="175"/>
      <c r="C25" s="175"/>
      <c r="D25" s="175"/>
      <c r="E25" s="175"/>
      <c r="F25" s="40">
        <v>0</v>
      </c>
      <c r="G25" s="41"/>
      <c r="H25" s="41"/>
      <c r="I25" s="40">
        <f t="shared" si="0"/>
        <v>0</v>
      </c>
    </row>
    <row r="26" spans="1:9" ht="13.2" x14ac:dyDescent="0.25">
      <c r="A26" s="176" t="s">
        <v>87</v>
      </c>
      <c r="B26" s="176"/>
      <c r="C26" s="176"/>
      <c r="D26" s="176"/>
      <c r="E26" s="176"/>
      <c r="F26" s="42">
        <v>0</v>
      </c>
      <c r="G26" s="17"/>
      <c r="H26" s="17"/>
      <c r="I26" s="42">
        <f t="shared" si="0"/>
        <v>0</v>
      </c>
    </row>
    <row r="27" spans="1:9" ht="13.2" x14ac:dyDescent="0.25">
      <c r="A27" s="177" t="s">
        <v>88</v>
      </c>
      <c r="B27" s="177"/>
      <c r="C27" s="177"/>
      <c r="D27" s="177"/>
      <c r="E27" s="177"/>
      <c r="F27" s="43"/>
      <c r="G27" s="44"/>
      <c r="H27" s="44"/>
      <c r="I27" s="45">
        <f>SUM(I21:I26)</f>
        <v>0</v>
      </c>
    </row>
    <row r="29" spans="1:9" ht="15.6" x14ac:dyDescent="0.25">
      <c r="A29" s="178" t="s">
        <v>89</v>
      </c>
      <c r="B29" s="178"/>
      <c r="C29" s="178"/>
      <c r="D29" s="178"/>
      <c r="E29" s="178"/>
      <c r="F29" s="179">
        <f>I18+I27</f>
        <v>0</v>
      </c>
      <c r="G29" s="179"/>
      <c r="H29" s="179"/>
      <c r="I29" s="179"/>
    </row>
    <row r="33" spans="1:9" ht="15.6" x14ac:dyDescent="0.3">
      <c r="A33" s="173" t="s">
        <v>90</v>
      </c>
      <c r="B33" s="173"/>
      <c r="C33" s="173"/>
      <c r="D33" s="173"/>
      <c r="E33" s="173"/>
    </row>
    <row r="34" spans="1:9" ht="13.2" x14ac:dyDescent="0.25">
      <c r="A34" s="174" t="s">
        <v>91</v>
      </c>
      <c r="B34" s="174"/>
      <c r="C34" s="174"/>
      <c r="D34" s="174"/>
      <c r="E34" s="174"/>
      <c r="F34" s="39" t="s">
        <v>77</v>
      </c>
      <c r="G34" s="39" t="s">
        <v>78</v>
      </c>
      <c r="H34" s="39" t="s">
        <v>79</v>
      </c>
      <c r="I34" s="39" t="s">
        <v>77</v>
      </c>
    </row>
    <row r="35" spans="1:9" ht="13.2" x14ac:dyDescent="0.25">
      <c r="A35" s="176"/>
      <c r="B35" s="176"/>
      <c r="C35" s="176"/>
      <c r="D35" s="176"/>
      <c r="E35" s="176"/>
      <c r="F35" s="42">
        <v>0</v>
      </c>
      <c r="G35" s="17"/>
      <c r="H35" s="17"/>
      <c r="I35" s="42">
        <f>F35</f>
        <v>0</v>
      </c>
    </row>
    <row r="36" spans="1:9" ht="13.2" x14ac:dyDescent="0.25">
      <c r="A36" s="177" t="s">
        <v>92</v>
      </c>
      <c r="B36" s="177"/>
      <c r="C36" s="177"/>
      <c r="D36" s="177"/>
      <c r="E36" s="177"/>
      <c r="F36" s="43"/>
      <c r="G36" s="44"/>
      <c r="H36" s="44"/>
      <c r="I36" s="45">
        <f>SUM(I35)</f>
        <v>0</v>
      </c>
    </row>
  </sheetData>
  <mergeCells count="51">
    <mergeCell ref="F29:I29"/>
    <mergeCell ref="A33:E33"/>
    <mergeCell ref="A34:E34"/>
    <mergeCell ref="A35:E35"/>
    <mergeCell ref="A36:E36"/>
    <mergeCell ref="A24:E24"/>
    <mergeCell ref="A25:E25"/>
    <mergeCell ref="A26:E26"/>
    <mergeCell ref="A27:E27"/>
    <mergeCell ref="A29:E29"/>
    <mergeCell ref="A18:E18"/>
    <mergeCell ref="A20:E20"/>
    <mergeCell ref="A21:E21"/>
    <mergeCell ref="A22:E22"/>
    <mergeCell ref="A23:E23"/>
    <mergeCell ref="A13:E13"/>
    <mergeCell ref="A14:E14"/>
    <mergeCell ref="A15:E15"/>
    <mergeCell ref="A16:E16"/>
    <mergeCell ref="A17:E17"/>
    <mergeCell ref="I8:I9"/>
    <mergeCell ref="A10:B11"/>
    <mergeCell ref="C10:D11"/>
    <mergeCell ref="E10:E11"/>
    <mergeCell ref="F10:G11"/>
    <mergeCell ref="H10:H11"/>
    <mergeCell ref="I10:I11"/>
    <mergeCell ref="A8:B9"/>
    <mergeCell ref="C8:D9"/>
    <mergeCell ref="E8:E9"/>
    <mergeCell ref="F8:G9"/>
    <mergeCell ref="H8:H9"/>
    <mergeCell ref="I4:I5"/>
    <mergeCell ref="A6:B7"/>
    <mergeCell ref="C6:D7"/>
    <mergeCell ref="E6:E7"/>
    <mergeCell ref="F6:G7"/>
    <mergeCell ref="H6:H7"/>
    <mergeCell ref="I6:I7"/>
    <mergeCell ref="A4:B5"/>
    <mergeCell ref="C4:D5"/>
    <mergeCell ref="E4:E5"/>
    <mergeCell ref="F4:G5"/>
    <mergeCell ref="H4:H5"/>
    <mergeCell ref="A1:I1"/>
    <mergeCell ref="A2:B3"/>
    <mergeCell ref="C2:D3"/>
    <mergeCell ref="E2:E3"/>
    <mergeCell ref="F2:G3"/>
    <mergeCell ref="H2:H3"/>
    <mergeCell ref="I2:I3"/>
  </mergeCells>
  <pageMargins left="0.39374999999999999" right="0.39374999999999999" top="0.59097222222222201" bottom="0.59097222222222201" header="0.511811023622047" footer="0.511811023622047"/>
  <pageSetup fitToHeight="0"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19"/>
  <sheetViews>
    <sheetView zoomScaleNormal="100" workbookViewId="0">
      <pane ySplit="11" topLeftCell="A12" activePane="bottomLeft" state="frozen"/>
      <selection pane="bottomLeft"/>
    </sheetView>
  </sheetViews>
  <sheetFormatPr defaultColWidth="12.109375" defaultRowHeight="14.4" x14ac:dyDescent="0.3"/>
  <cols>
    <col min="1" max="1" width="7.5546875" style="22" customWidth="1"/>
    <col min="2" max="8" width="15.6640625" style="22" customWidth="1"/>
    <col min="9" max="12" width="14.33203125" style="22" customWidth="1"/>
    <col min="13" max="16" width="12.109375" style="22" hidden="1"/>
  </cols>
  <sheetData>
    <row r="1" spans="1:16" ht="39.75" customHeight="1" x14ac:dyDescent="0.4">
      <c r="A1" s="180" t="s">
        <v>93</v>
      </c>
      <c r="B1" s="180"/>
      <c r="C1" s="180"/>
      <c r="D1" s="180"/>
      <c r="E1" s="180"/>
      <c r="F1" s="180"/>
      <c r="G1" s="180"/>
      <c r="H1" s="180"/>
      <c r="I1" s="180"/>
      <c r="J1" s="180"/>
      <c r="K1" s="180"/>
      <c r="L1" s="180"/>
    </row>
    <row r="2" spans="1:16" ht="15" customHeight="1" x14ac:dyDescent="0.3">
      <c r="A2" s="13" t="s">
        <v>1</v>
      </c>
      <c r="B2" s="13"/>
      <c r="C2" s="13"/>
      <c r="D2" s="12" t="str">
        <f>'Stavební rozpočet'!D2</f>
        <v>DEMOLICE PANELOVÉHO DOMU V HORNÍM PARKU</v>
      </c>
      <c r="E2" s="12"/>
      <c r="F2" s="12"/>
      <c r="G2" s="11" t="s">
        <v>94</v>
      </c>
      <c r="H2" s="11" t="str">
        <f>'Stavební rozpočet'!H2</f>
        <v xml:space="preserve"> </v>
      </c>
      <c r="I2" s="11" t="s">
        <v>2</v>
      </c>
      <c r="J2" s="181" t="str">
        <f>'Stavební rozpočet'!J2</f>
        <v>MĚSTO ZNOJMO</v>
      </c>
      <c r="K2" s="181"/>
      <c r="L2" s="181"/>
    </row>
    <row r="3" spans="1:16" ht="15" customHeight="1" x14ac:dyDescent="0.3">
      <c r="A3" s="13"/>
      <c r="B3" s="13"/>
      <c r="C3" s="13"/>
      <c r="D3" s="12"/>
      <c r="E3" s="12"/>
      <c r="F3" s="12"/>
      <c r="G3" s="11"/>
      <c r="H3" s="11"/>
      <c r="I3" s="11"/>
      <c r="J3" s="11"/>
      <c r="K3" s="181"/>
      <c r="L3" s="181"/>
    </row>
    <row r="4" spans="1:16" ht="15" customHeight="1" x14ac:dyDescent="0.3">
      <c r="A4" s="9" t="s">
        <v>4</v>
      </c>
      <c r="B4" s="9"/>
      <c r="C4" s="9"/>
      <c r="D4" s="8" t="str">
        <f>'Stavební rozpočet'!D4</f>
        <v>Postupná demolice panelového domu</v>
      </c>
      <c r="E4" s="8"/>
      <c r="F4" s="8"/>
      <c r="G4" s="8" t="s">
        <v>9</v>
      </c>
      <c r="H4" s="8" t="str">
        <f>'Stavební rozpočet'!H4</f>
        <v xml:space="preserve"> </v>
      </c>
      <c r="I4" s="8" t="s">
        <v>5</v>
      </c>
      <c r="J4" s="182" t="str">
        <f>'Stavební rozpočet'!J4</f>
        <v>Ing.  Roman Zvěřina, Dolní Česká 358/25, 669 02 Znojmo</v>
      </c>
      <c r="K4" s="182"/>
      <c r="L4" s="182"/>
    </row>
    <row r="5" spans="1:16" ht="15" customHeight="1" x14ac:dyDescent="0.3">
      <c r="A5" s="9"/>
      <c r="B5" s="9"/>
      <c r="C5" s="9"/>
      <c r="D5" s="8"/>
      <c r="E5" s="8"/>
      <c r="F5" s="8"/>
      <c r="G5" s="8"/>
      <c r="H5" s="8"/>
      <c r="I5" s="8"/>
      <c r="J5" s="8"/>
      <c r="K5" s="182"/>
      <c r="L5" s="182"/>
    </row>
    <row r="6" spans="1:16" ht="15" customHeight="1" x14ac:dyDescent="0.3">
      <c r="A6" s="9" t="s">
        <v>7</v>
      </c>
      <c r="B6" s="9"/>
      <c r="C6" s="9"/>
      <c r="D6" s="8" t="str">
        <f>'Stavební rozpočet'!D6</f>
        <v>k.ú.Znojmo-město parc.č.258/5</v>
      </c>
      <c r="E6" s="8"/>
      <c r="F6" s="8"/>
      <c r="G6" s="8" t="s">
        <v>10</v>
      </c>
      <c r="H6" s="8" t="str">
        <f>'Stavební rozpočet'!H6</f>
        <v xml:space="preserve"> </v>
      </c>
      <c r="I6" s="8" t="s">
        <v>8</v>
      </c>
      <c r="J6" s="182" t="str">
        <f>'Stavební rozpočet'!J6</f>
        <v> </v>
      </c>
      <c r="K6" s="182"/>
      <c r="L6" s="182"/>
    </row>
    <row r="7" spans="1:16" ht="15" customHeight="1" x14ac:dyDescent="0.3">
      <c r="A7" s="9"/>
      <c r="B7" s="9"/>
      <c r="C7" s="9"/>
      <c r="D7" s="8"/>
      <c r="E7" s="8"/>
      <c r="F7" s="8"/>
      <c r="G7" s="8"/>
      <c r="H7" s="8"/>
      <c r="I7" s="8"/>
      <c r="J7" s="8"/>
      <c r="K7" s="182"/>
      <c r="L7" s="182"/>
    </row>
    <row r="8" spans="1:16" ht="15" customHeight="1" x14ac:dyDescent="0.3">
      <c r="A8" s="9" t="s">
        <v>12</v>
      </c>
      <c r="B8" s="9"/>
      <c r="C8" s="9"/>
      <c r="D8" s="8" t="str">
        <f>'Stavební rozpočet'!D8</f>
        <v>80331</v>
      </c>
      <c r="E8" s="8"/>
      <c r="F8" s="8"/>
      <c r="G8" s="8" t="s">
        <v>95</v>
      </c>
      <c r="H8" s="8" t="str">
        <f>'Stavební rozpočet'!H8</f>
        <v>16.05.2025</v>
      </c>
      <c r="I8" s="8" t="s">
        <v>13</v>
      </c>
      <c r="J8" s="182" t="str">
        <f>'Stavební rozpočet'!J8</f>
        <v>Bohuslav Hemala</v>
      </c>
      <c r="K8" s="182"/>
      <c r="L8" s="182"/>
    </row>
    <row r="9" spans="1:16" x14ac:dyDescent="0.3">
      <c r="A9" s="9"/>
      <c r="B9" s="9"/>
      <c r="C9" s="9"/>
      <c r="D9" s="8"/>
      <c r="E9" s="8"/>
      <c r="F9" s="8"/>
      <c r="G9" s="8"/>
      <c r="H9" s="8"/>
      <c r="I9" s="8"/>
      <c r="J9" s="8"/>
      <c r="K9" s="182"/>
      <c r="L9" s="182"/>
    </row>
    <row r="10" spans="1:16" x14ac:dyDescent="0.3">
      <c r="A10" s="46" t="s">
        <v>96</v>
      </c>
      <c r="B10" s="183" t="s">
        <v>96</v>
      </c>
      <c r="C10" s="183"/>
      <c r="D10" s="183"/>
      <c r="E10" s="183"/>
      <c r="F10" s="183"/>
      <c r="G10" s="183"/>
      <c r="H10" s="183"/>
      <c r="I10" s="184" t="s">
        <v>97</v>
      </c>
      <c r="J10" s="184"/>
      <c r="K10" s="184"/>
      <c r="L10" s="47" t="s">
        <v>98</v>
      </c>
    </row>
    <row r="11" spans="1:16" x14ac:dyDescent="0.3">
      <c r="A11" s="48" t="s">
        <v>99</v>
      </c>
      <c r="B11" s="185" t="s">
        <v>100</v>
      </c>
      <c r="C11" s="185"/>
      <c r="D11" s="185"/>
      <c r="E11" s="185"/>
      <c r="F11" s="185"/>
      <c r="G11" s="185"/>
      <c r="H11" s="185"/>
      <c r="I11" s="49" t="s">
        <v>101</v>
      </c>
      <c r="J11" s="50" t="s">
        <v>39</v>
      </c>
      <c r="K11" s="51" t="s">
        <v>102</v>
      </c>
      <c r="L11" s="51" t="s">
        <v>102</v>
      </c>
    </row>
    <row r="12" spans="1:16" ht="19.8" customHeight="1" x14ac:dyDescent="0.25">
      <c r="A12" s="52" t="s">
        <v>103</v>
      </c>
      <c r="B12" s="186" t="s">
        <v>104</v>
      </c>
      <c r="C12" s="186"/>
      <c r="D12" s="186"/>
      <c r="E12" s="186"/>
      <c r="F12" s="186"/>
      <c r="G12" s="186"/>
      <c r="H12" s="186"/>
      <c r="I12" s="53">
        <f>ROUND('Stavební rozpočet'!J12,2)</f>
        <v>0</v>
      </c>
      <c r="J12" s="53">
        <f>ROUND('Stavební rozpočet'!K12,2)</f>
        <v>0</v>
      </c>
      <c r="K12" s="53">
        <f>ROUND('Stavební rozpočet'!L12,2)</f>
        <v>0</v>
      </c>
      <c r="L12" s="53">
        <f>'Stavební rozpočet'!O12</f>
        <v>860.37054708000005</v>
      </c>
      <c r="M12" s="54" t="s">
        <v>105</v>
      </c>
      <c r="N12" s="55">
        <f>IF(M12="F",0,K12)</f>
        <v>0</v>
      </c>
      <c r="O12" s="18" t="s">
        <v>103</v>
      </c>
      <c r="P12" s="55">
        <f>IF(M12="T",0,K12)</f>
        <v>0</v>
      </c>
    </row>
    <row r="13" spans="1:16" ht="19.8" customHeight="1" x14ac:dyDescent="0.25">
      <c r="A13" s="56" t="s">
        <v>106</v>
      </c>
      <c r="B13" s="187" t="s">
        <v>107</v>
      </c>
      <c r="C13" s="187"/>
      <c r="D13" s="187"/>
      <c r="E13" s="187"/>
      <c r="F13" s="187"/>
      <c r="G13" s="187"/>
      <c r="H13" s="187"/>
      <c r="I13" s="57">
        <f>ROUND('Stavební rozpočet'!J116,2)</f>
        <v>0</v>
      </c>
      <c r="J13" s="57">
        <f>ROUND('Stavební rozpočet'!K116,2)</f>
        <v>0</v>
      </c>
      <c r="K13" s="57">
        <f>ROUND('Stavební rozpočet'!L116,2)</f>
        <v>0</v>
      </c>
      <c r="L13" s="57">
        <f>'Stavební rozpočet'!O116</f>
        <v>212.80173000000002</v>
      </c>
      <c r="M13" s="54" t="s">
        <v>105</v>
      </c>
      <c r="N13" s="55">
        <f>IF(M13="F",0,K13)</f>
        <v>0</v>
      </c>
      <c r="O13" s="18" t="s">
        <v>106</v>
      </c>
      <c r="P13" s="55">
        <f>IF(M13="T",0,K13)</f>
        <v>0</v>
      </c>
    </row>
    <row r="14" spans="1:16" ht="19.8" customHeight="1" x14ac:dyDescent="0.25">
      <c r="A14" s="58" t="s">
        <v>108</v>
      </c>
      <c r="B14" s="188" t="s">
        <v>109</v>
      </c>
      <c r="C14" s="188"/>
      <c r="D14" s="188"/>
      <c r="E14" s="188"/>
      <c r="F14" s="188"/>
      <c r="G14" s="188"/>
      <c r="H14" s="188"/>
      <c r="I14" s="59">
        <f>ROUND('Stavební rozpočet'!J134,2)</f>
        <v>0</v>
      </c>
      <c r="J14" s="59">
        <f>ROUND('Stavební rozpočet'!K134,2)</f>
        <v>0</v>
      </c>
      <c r="K14" s="59">
        <f>ROUND('Stavební rozpočet'!L134,2)</f>
        <v>0</v>
      </c>
      <c r="L14" s="59">
        <f>'Stavební rozpočet'!O134</f>
        <v>472.57939607999998</v>
      </c>
      <c r="M14" s="54" t="s">
        <v>105</v>
      </c>
      <c r="N14" s="55">
        <f>IF(M14="F",0,K14)</f>
        <v>0</v>
      </c>
      <c r="O14" s="18" t="s">
        <v>108</v>
      </c>
      <c r="P14" s="55">
        <f>IF(M14="T",0,K14)</f>
        <v>0</v>
      </c>
    </row>
    <row r="15" spans="1:16" ht="19.8" customHeight="1" x14ac:dyDescent="0.25">
      <c r="A15" s="60" t="s">
        <v>110</v>
      </c>
      <c r="B15" s="189" t="s">
        <v>111</v>
      </c>
      <c r="C15" s="189"/>
      <c r="D15" s="189"/>
      <c r="E15" s="189"/>
      <c r="F15" s="189"/>
      <c r="G15" s="189"/>
      <c r="H15" s="189"/>
      <c r="I15" s="61">
        <f>ROUND('Stavební rozpočet'!J169,2)</f>
        <v>0</v>
      </c>
      <c r="J15" s="61">
        <f>ROUND('Stavební rozpočet'!K169,2)</f>
        <v>0</v>
      </c>
      <c r="K15" s="61">
        <f>ROUND('Stavební rozpočet'!L169,2)</f>
        <v>0</v>
      </c>
      <c r="L15" s="61">
        <f>'Stavební rozpočet'!O169</f>
        <v>0</v>
      </c>
      <c r="M15" s="54" t="s">
        <v>105</v>
      </c>
      <c r="N15" s="55">
        <f>IF(M15="F",0,K15)</f>
        <v>0</v>
      </c>
      <c r="O15" s="18" t="s">
        <v>110</v>
      </c>
      <c r="P15" s="55">
        <f>IF(M15="T",0,K15)</f>
        <v>0</v>
      </c>
    </row>
    <row r="16" spans="1:16" ht="19.8" customHeight="1" x14ac:dyDescent="0.25">
      <c r="A16" s="62" t="s">
        <v>112</v>
      </c>
      <c r="B16" s="190" t="s">
        <v>82</v>
      </c>
      <c r="C16" s="190"/>
      <c r="D16" s="190"/>
      <c r="E16" s="190"/>
      <c r="F16" s="190"/>
      <c r="G16" s="190"/>
      <c r="H16" s="190"/>
      <c r="I16" s="63">
        <f>ROUND('Stavební rozpočet'!J177,2)</f>
        <v>0</v>
      </c>
      <c r="J16" s="63">
        <f>ROUND('Stavební rozpočet'!K177,2)</f>
        <v>0</v>
      </c>
      <c r="K16" s="63">
        <f>ROUND('Stavební rozpočet'!L177,2)</f>
        <v>0</v>
      </c>
      <c r="L16" s="63">
        <f>'Stavební rozpočet'!O177</f>
        <v>605.15637500000003</v>
      </c>
      <c r="M16" s="54" t="s">
        <v>105</v>
      </c>
      <c r="N16" s="55">
        <f>IF(M16="F",0,K16)</f>
        <v>0</v>
      </c>
      <c r="O16" s="18" t="s">
        <v>112</v>
      </c>
      <c r="P16" s="55">
        <f>IF(M16="T",0,K16)</f>
        <v>0</v>
      </c>
    </row>
    <row r="17" spans="1:12" ht="19.8" customHeight="1" x14ac:dyDescent="0.3">
      <c r="I17" s="191" t="s">
        <v>113</v>
      </c>
      <c r="J17" s="191"/>
      <c r="K17" s="64">
        <f>ROUND(SUM(P12:P16),1)</f>
        <v>0</v>
      </c>
    </row>
    <row r="18" spans="1:12" x14ac:dyDescent="0.3">
      <c r="A18"/>
    </row>
    <row r="19" spans="1:12" ht="12.75" customHeight="1" x14ac:dyDescent="0.3">
      <c r="A19" s="8"/>
      <c r="B19" s="8"/>
      <c r="C19" s="8"/>
      <c r="D19" s="8"/>
      <c r="E19" s="8"/>
      <c r="F19" s="8"/>
      <c r="G19" s="8"/>
      <c r="H19" s="8"/>
      <c r="I19" s="8"/>
      <c r="J19" s="8"/>
      <c r="K19" s="8"/>
      <c r="L19" s="8"/>
    </row>
  </sheetData>
  <mergeCells count="35">
    <mergeCell ref="A19:L19"/>
    <mergeCell ref="B13:H13"/>
    <mergeCell ref="B14:H14"/>
    <mergeCell ref="B15:H15"/>
    <mergeCell ref="B16:H16"/>
    <mergeCell ref="I17:J17"/>
    <mergeCell ref="J8:L9"/>
    <mergeCell ref="B10:H10"/>
    <mergeCell ref="I10:K10"/>
    <mergeCell ref="B11:H11"/>
    <mergeCell ref="B12:H12"/>
    <mergeCell ref="A8:C9"/>
    <mergeCell ref="D8:F9"/>
    <mergeCell ref="G8:G9"/>
    <mergeCell ref="H8:H9"/>
    <mergeCell ref="I8:I9"/>
    <mergeCell ref="J4:L5"/>
    <mergeCell ref="A6:C7"/>
    <mergeCell ref="D6:F7"/>
    <mergeCell ref="G6:G7"/>
    <mergeCell ref="H6:H7"/>
    <mergeCell ref="I6:I7"/>
    <mergeCell ref="J6:L7"/>
    <mergeCell ref="A4:C5"/>
    <mergeCell ref="D4:F5"/>
    <mergeCell ref="G4:G5"/>
    <mergeCell ref="H4:H5"/>
    <mergeCell ref="I4:I5"/>
    <mergeCell ref="A1:L1"/>
    <mergeCell ref="A2:C3"/>
    <mergeCell ref="D2:F3"/>
    <mergeCell ref="G2:G3"/>
    <mergeCell ref="H2:H3"/>
    <mergeCell ref="I2:I3"/>
    <mergeCell ref="J2:L3"/>
  </mergeCells>
  <pageMargins left="0.39374999999999999" right="0.39374999999999999" top="0.59097222222222201" bottom="0.75763888888888897" header="0.511811023622047" footer="0.59097222222222201"/>
  <pageSetup firstPageNumber="3" orientation="landscape" useFirstPageNumber="1" horizontalDpi="300" verticalDpi="300"/>
  <headerFooter>
    <oddFooter>&amp;C&amp;"Times New Roman,obyčejné"&amp;12&amp;F, Stránka &amp;P</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Z218"/>
  <sheetViews>
    <sheetView zoomScaleNormal="100" workbookViewId="0">
      <pane ySplit="11" topLeftCell="A12" activePane="bottomLeft" state="frozen"/>
      <selection pane="bottomLeft" activeCell="G176" sqref="G176"/>
    </sheetView>
  </sheetViews>
  <sheetFormatPr defaultColWidth="12.109375" defaultRowHeight="14.4" x14ac:dyDescent="0.3"/>
  <cols>
    <col min="1" max="1" width="4" style="22" customWidth="1"/>
    <col min="2" max="2" width="7.6640625" style="22" customWidth="1"/>
    <col min="3" max="3" width="16.5546875" style="22" customWidth="1"/>
    <col min="4" max="4" width="42.88671875" style="65" customWidth="1"/>
    <col min="5" max="5" width="4.44140625" style="22" customWidth="1"/>
    <col min="6" max="6" width="5.88671875" style="22" customWidth="1"/>
    <col min="7" max="7" width="12.88671875" style="66" customWidth="1"/>
    <col min="8" max="8" width="12" style="22" customWidth="1"/>
    <col min="9" max="9" width="10.44140625" style="22" customWidth="1"/>
    <col min="10" max="11" width="12.33203125" style="22" customWidth="1"/>
    <col min="12" max="12" width="14.44140625" style="22" customWidth="1"/>
    <col min="13" max="13" width="15.109375" style="22" customWidth="1"/>
    <col min="14" max="14" width="9.33203125" style="22" customWidth="1"/>
    <col min="15" max="15" width="7.77734375" style="66" customWidth="1"/>
    <col min="16" max="16" width="11.77734375" style="22" customWidth="1"/>
    <col min="25" max="75" width="12.109375" style="22" hidden="1"/>
    <col min="76" max="76" width="78.5546875" style="22" hidden="1" customWidth="1"/>
    <col min="77" max="78" width="12.109375" style="22" hidden="1"/>
  </cols>
  <sheetData>
    <row r="1" spans="1:76" ht="39.75" customHeight="1" x14ac:dyDescent="0.4">
      <c r="A1" s="192" t="s">
        <v>114</v>
      </c>
      <c r="B1" s="192"/>
      <c r="C1" s="192"/>
      <c r="D1" s="192"/>
      <c r="E1" s="192"/>
      <c r="F1" s="192"/>
      <c r="G1" s="192"/>
      <c r="H1" s="192"/>
      <c r="I1" s="192"/>
      <c r="J1" s="192"/>
      <c r="K1" s="192"/>
      <c r="L1" s="192"/>
      <c r="M1" s="192"/>
      <c r="N1" s="67"/>
      <c r="O1" s="67"/>
      <c r="P1" s="67"/>
      <c r="AS1" s="68">
        <f>SUM(AJ1:AJ2)</f>
        <v>0</v>
      </c>
      <c r="AT1" s="68">
        <f>SUM(AK1:AK2)</f>
        <v>0</v>
      </c>
      <c r="AU1" s="68">
        <f>SUM(AL1:AL2)</f>
        <v>0</v>
      </c>
    </row>
    <row r="2" spans="1:76" ht="15" customHeight="1" x14ac:dyDescent="0.3">
      <c r="A2" s="13" t="s">
        <v>1</v>
      </c>
      <c r="B2" s="13"/>
      <c r="C2" s="13"/>
      <c r="D2" s="12" t="s">
        <v>115</v>
      </c>
      <c r="E2" s="12"/>
      <c r="F2" s="193" t="s">
        <v>94</v>
      </c>
      <c r="G2" s="193"/>
      <c r="H2" s="193" t="s">
        <v>96</v>
      </c>
      <c r="I2" s="11" t="s">
        <v>2</v>
      </c>
      <c r="J2" s="181" t="s">
        <v>116</v>
      </c>
      <c r="K2" s="181"/>
      <c r="L2" s="181"/>
      <c r="M2" s="181"/>
      <c r="N2" s="181"/>
      <c r="O2" s="181"/>
      <c r="P2" s="181"/>
    </row>
    <row r="3" spans="1:76" x14ac:dyDescent="0.3">
      <c r="A3" s="13"/>
      <c r="B3" s="13"/>
      <c r="C3" s="13"/>
      <c r="D3" s="12"/>
      <c r="E3" s="12"/>
      <c r="F3" s="193"/>
      <c r="G3" s="193"/>
      <c r="H3" s="193"/>
      <c r="I3" s="193"/>
      <c r="J3" s="193"/>
      <c r="K3" s="181"/>
      <c r="L3" s="181"/>
      <c r="M3" s="181"/>
      <c r="N3" s="181"/>
      <c r="O3" s="181"/>
      <c r="P3" s="181"/>
    </row>
    <row r="4" spans="1:76" ht="15" customHeight="1" x14ac:dyDescent="0.3">
      <c r="A4" s="9" t="s">
        <v>4</v>
      </c>
      <c r="B4" s="9"/>
      <c r="C4" s="9"/>
      <c r="D4" s="8" t="s">
        <v>104</v>
      </c>
      <c r="E4" s="8"/>
      <c r="F4" s="6" t="s">
        <v>9</v>
      </c>
      <c r="G4" s="6"/>
      <c r="H4" s="6" t="s">
        <v>96</v>
      </c>
      <c r="I4" s="8" t="s">
        <v>5</v>
      </c>
      <c r="J4" s="182" t="s">
        <v>117</v>
      </c>
      <c r="K4" s="182"/>
      <c r="L4" s="182"/>
      <c r="M4" s="182"/>
      <c r="N4" s="182"/>
      <c r="O4" s="182"/>
      <c r="P4" s="182"/>
    </row>
    <row r="5" spans="1:76" x14ac:dyDescent="0.3">
      <c r="A5" s="9"/>
      <c r="B5" s="9"/>
      <c r="C5" s="9"/>
      <c r="D5" s="8"/>
      <c r="E5" s="8"/>
      <c r="F5" s="6"/>
      <c r="G5" s="6"/>
      <c r="H5" s="6"/>
      <c r="I5" s="6"/>
      <c r="J5" s="6"/>
      <c r="K5" s="182"/>
      <c r="L5" s="182"/>
      <c r="M5" s="182"/>
      <c r="N5" s="182"/>
      <c r="O5" s="182"/>
      <c r="P5" s="182"/>
    </row>
    <row r="6" spans="1:76" ht="15" customHeight="1" x14ac:dyDescent="0.3">
      <c r="A6" s="9" t="s">
        <v>7</v>
      </c>
      <c r="B6" s="9"/>
      <c r="C6" s="9"/>
      <c r="D6" s="8" t="s">
        <v>118</v>
      </c>
      <c r="E6" s="8"/>
      <c r="F6" s="6" t="s">
        <v>10</v>
      </c>
      <c r="G6" s="6"/>
      <c r="H6" s="6" t="s">
        <v>96</v>
      </c>
      <c r="I6" s="8" t="s">
        <v>8</v>
      </c>
      <c r="J6" s="7" t="s">
        <v>71</v>
      </c>
      <c r="K6" s="7"/>
      <c r="L6" s="7"/>
      <c r="M6" s="7"/>
      <c r="N6" s="7"/>
      <c r="O6" s="7"/>
      <c r="P6" s="7"/>
    </row>
    <row r="7" spans="1:76" x14ac:dyDescent="0.3">
      <c r="A7" s="9"/>
      <c r="B7" s="9"/>
      <c r="C7" s="9"/>
      <c r="D7" s="8"/>
      <c r="E7" s="8"/>
      <c r="F7" s="6"/>
      <c r="G7" s="6"/>
      <c r="H7" s="6"/>
      <c r="I7" s="6"/>
      <c r="J7" s="6"/>
      <c r="K7" s="7"/>
      <c r="L7" s="7"/>
      <c r="M7" s="7"/>
      <c r="N7" s="7"/>
      <c r="O7" s="7"/>
      <c r="P7" s="7"/>
    </row>
    <row r="8" spans="1:76" ht="15" customHeight="1" x14ac:dyDescent="0.3">
      <c r="A8" s="9" t="s">
        <v>12</v>
      </c>
      <c r="B8" s="9"/>
      <c r="C8" s="9"/>
      <c r="D8" s="8" t="s">
        <v>119</v>
      </c>
      <c r="E8" s="8"/>
      <c r="F8" s="6" t="s">
        <v>95</v>
      </c>
      <c r="G8" s="6"/>
      <c r="H8" s="6" t="s">
        <v>120</v>
      </c>
      <c r="I8" s="8" t="s">
        <v>13</v>
      </c>
      <c r="J8" s="182" t="s">
        <v>121</v>
      </c>
      <c r="K8" s="182"/>
      <c r="L8" s="182"/>
      <c r="M8" s="182"/>
      <c r="N8" s="182"/>
      <c r="O8" s="182"/>
      <c r="P8" s="182"/>
    </row>
    <row r="9" spans="1:76" x14ac:dyDescent="0.3">
      <c r="A9" s="9"/>
      <c r="B9" s="9"/>
      <c r="C9" s="9"/>
      <c r="D9" s="8"/>
      <c r="E9" s="8"/>
      <c r="F9" s="6"/>
      <c r="G9" s="6"/>
      <c r="H9" s="6"/>
      <c r="I9" s="6"/>
      <c r="J9" s="6"/>
      <c r="K9" s="182"/>
      <c r="L9" s="182"/>
      <c r="M9" s="182"/>
      <c r="N9" s="182"/>
      <c r="O9" s="182"/>
      <c r="P9" s="182"/>
    </row>
    <row r="10" spans="1:76" ht="15" customHeight="1" x14ac:dyDescent="0.3">
      <c r="A10" s="69" t="s">
        <v>122</v>
      </c>
      <c r="B10" s="70" t="s">
        <v>99</v>
      </c>
      <c r="C10" s="70" t="s">
        <v>123</v>
      </c>
      <c r="D10" s="194" t="s">
        <v>100</v>
      </c>
      <c r="E10" s="194"/>
      <c r="F10" s="70" t="s">
        <v>124</v>
      </c>
      <c r="G10" s="71" t="s">
        <v>125</v>
      </c>
      <c r="H10" s="72" t="s">
        <v>126</v>
      </c>
      <c r="I10" s="73" t="s">
        <v>127</v>
      </c>
      <c r="J10" s="184" t="s">
        <v>97</v>
      </c>
      <c r="K10" s="184"/>
      <c r="L10" s="184"/>
      <c r="M10" s="47" t="s">
        <v>97</v>
      </c>
      <c r="N10" s="195" t="s">
        <v>98</v>
      </c>
      <c r="O10" s="195"/>
      <c r="P10" s="74" t="s">
        <v>128</v>
      </c>
      <c r="BK10" s="75" t="s">
        <v>129</v>
      </c>
      <c r="BL10" s="76" t="s">
        <v>130</v>
      </c>
      <c r="BW10" s="76" t="s">
        <v>131</v>
      </c>
    </row>
    <row r="11" spans="1:76" ht="15" customHeight="1" x14ac:dyDescent="0.3">
      <c r="A11" s="77" t="s">
        <v>96</v>
      </c>
      <c r="B11" s="78" t="s">
        <v>96</v>
      </c>
      <c r="C11" s="78" t="s">
        <v>96</v>
      </c>
      <c r="D11" s="196" t="s">
        <v>132</v>
      </c>
      <c r="E11" s="196"/>
      <c r="F11" s="78" t="s">
        <v>96</v>
      </c>
      <c r="G11" s="79" t="s">
        <v>96</v>
      </c>
      <c r="H11" s="80" t="s">
        <v>133</v>
      </c>
      <c r="I11" s="81" t="s">
        <v>134</v>
      </c>
      <c r="J11" s="49" t="s">
        <v>101</v>
      </c>
      <c r="K11" s="50" t="s">
        <v>39</v>
      </c>
      <c r="L11" s="51" t="s">
        <v>102</v>
      </c>
      <c r="M11" s="51" t="s">
        <v>135</v>
      </c>
      <c r="N11" s="50" t="s">
        <v>136</v>
      </c>
      <c r="O11" s="82" t="s">
        <v>102</v>
      </c>
      <c r="P11" s="49" t="s">
        <v>137</v>
      </c>
      <c r="Z11" s="75" t="s">
        <v>138</v>
      </c>
      <c r="AA11" s="75" t="s">
        <v>139</v>
      </c>
      <c r="AB11" s="75" t="s">
        <v>140</v>
      </c>
      <c r="AC11" s="75" t="s">
        <v>141</v>
      </c>
      <c r="AD11" s="75" t="s">
        <v>142</v>
      </c>
      <c r="AE11" s="75" t="s">
        <v>143</v>
      </c>
      <c r="AF11" s="75" t="s">
        <v>144</v>
      </c>
      <c r="AG11" s="75" t="s">
        <v>145</v>
      </c>
      <c r="AH11" s="75" t="s">
        <v>146</v>
      </c>
      <c r="BH11" s="75" t="s">
        <v>147</v>
      </c>
      <c r="BI11" s="75" t="s">
        <v>148</v>
      </c>
      <c r="BJ11" s="75" t="s">
        <v>149</v>
      </c>
    </row>
    <row r="12" spans="1:76" ht="35.1" customHeight="1" x14ac:dyDescent="0.3">
      <c r="A12" s="52"/>
      <c r="B12" s="83" t="s">
        <v>103</v>
      </c>
      <c r="C12" s="83"/>
      <c r="D12" s="197" t="s">
        <v>104</v>
      </c>
      <c r="E12" s="197"/>
      <c r="F12" s="52" t="s">
        <v>96</v>
      </c>
      <c r="G12" s="84" t="s">
        <v>96</v>
      </c>
      <c r="H12" s="52" t="s">
        <v>96</v>
      </c>
      <c r="I12" s="52" t="s">
        <v>96</v>
      </c>
      <c r="J12" s="85">
        <f>J13+J16+J18+J22+J25+J32+J35+J37+J40+J42+J48+J51+J53+J62+J68+J85+J89+J93</f>
        <v>0</v>
      </c>
      <c r="K12" s="85">
        <f>K13+K16+K18+K22+K25+K32+K35+K37+K40+K42+K48+K51+K53+K62+K68+K85+K89+K93</f>
        <v>0</v>
      </c>
      <c r="L12" s="85">
        <f>L13+L16+L18+L22+L25+L32+L35+L37+L40+L42+L48+L51+L53+L62+L68+L85+L89+L93</f>
        <v>0</v>
      </c>
      <c r="M12" s="85">
        <f>M13+M16+M18+M22+M25+M32+M35+M37+M40+M42+M48+M51+M53+M62+M68+M85+M89+M93</f>
        <v>0</v>
      </c>
      <c r="N12" s="86"/>
      <c r="O12" s="87">
        <f>O13+O16+O18+O22+O25+O32+O35+O37+O40+O42+O48+O51+O53+O62+O68+O85+O89+O93</f>
        <v>860.37054708000005</v>
      </c>
      <c r="P12" s="86"/>
    </row>
    <row r="13" spans="1:76" ht="15" customHeight="1" x14ac:dyDescent="0.3">
      <c r="A13" s="88"/>
      <c r="B13" s="89" t="s">
        <v>103</v>
      </c>
      <c r="C13" s="89" t="s">
        <v>150</v>
      </c>
      <c r="D13" s="198" t="s">
        <v>151</v>
      </c>
      <c r="E13" s="198"/>
      <c r="F13" s="88" t="s">
        <v>96</v>
      </c>
      <c r="G13" s="90" t="s">
        <v>96</v>
      </c>
      <c r="H13" s="88" t="s">
        <v>96</v>
      </c>
      <c r="I13" s="88" t="s">
        <v>96</v>
      </c>
      <c r="J13" s="91">
        <f>SUM(J14:J15)</f>
        <v>0</v>
      </c>
      <c r="K13" s="91">
        <f>SUM(K14:K15)</f>
        <v>0</v>
      </c>
      <c r="L13" s="91">
        <f>SUM(L14:L15)</f>
        <v>0</v>
      </c>
      <c r="M13" s="91">
        <f>SUM(M14:M15)</f>
        <v>0</v>
      </c>
      <c r="N13" s="92"/>
      <c r="O13" s="93">
        <f>SUM(O14:O15)</f>
        <v>3.8880000000000003</v>
      </c>
      <c r="P13" s="92"/>
      <c r="AI13" s="75" t="s">
        <v>103</v>
      </c>
      <c r="AS13" s="68">
        <f>SUM(AJ14:AJ15)</f>
        <v>0</v>
      </c>
      <c r="AT13" s="68">
        <f>SUM(AK14:AK15)</f>
        <v>0</v>
      </c>
      <c r="AU13" s="68">
        <f>SUM(AL14:AL15)</f>
        <v>0</v>
      </c>
    </row>
    <row r="14" spans="1:76" ht="15" customHeight="1" x14ac:dyDescent="0.3">
      <c r="A14" s="94" t="s">
        <v>152</v>
      </c>
      <c r="B14" s="94" t="s">
        <v>103</v>
      </c>
      <c r="C14" s="94" t="s">
        <v>153</v>
      </c>
      <c r="D14" s="199" t="s">
        <v>154</v>
      </c>
      <c r="E14" s="199"/>
      <c r="F14" s="94" t="s">
        <v>155</v>
      </c>
      <c r="G14" s="96">
        <v>162</v>
      </c>
      <c r="H14" s="97"/>
      <c r="I14" s="98">
        <v>21</v>
      </c>
      <c r="J14" s="97">
        <f>ROUND(G14*AO14,2)</f>
        <v>0</v>
      </c>
      <c r="K14" s="97">
        <f>ROUND(G14*AP14,2)</f>
        <v>0</v>
      </c>
      <c r="L14" s="97">
        <f>ROUND(G14*H14,2)</f>
        <v>0</v>
      </c>
      <c r="M14" s="97">
        <f>L14*(1+BW14/100)</f>
        <v>0</v>
      </c>
      <c r="N14" s="97">
        <v>0.01</v>
      </c>
      <c r="O14" s="96">
        <f>G14*N14</f>
        <v>1.62</v>
      </c>
      <c r="P14" s="99" t="s">
        <v>156</v>
      </c>
      <c r="Z14" s="55">
        <f>ROUND(IF(AQ14="5",BJ14,0),2)</f>
        <v>0</v>
      </c>
      <c r="AB14" s="55">
        <f>ROUND(IF(AQ14="1",BH14,0),2)</f>
        <v>0</v>
      </c>
      <c r="AC14" s="55">
        <f>ROUND(IF(AQ14="1",BI14,0),2)</f>
        <v>0</v>
      </c>
      <c r="AD14" s="55">
        <f>ROUND(IF(AQ14="7",BH14,0),2)</f>
        <v>0</v>
      </c>
      <c r="AE14" s="55">
        <f>ROUND(IF(AQ14="7",BI14,0),2)</f>
        <v>0</v>
      </c>
      <c r="AF14" s="55">
        <f>ROUND(IF(AQ14="2",BH14,0),2)</f>
        <v>0</v>
      </c>
      <c r="AG14" s="55">
        <f>ROUND(IF(AQ14="2",BI14,0),2)</f>
        <v>0</v>
      </c>
      <c r="AH14" s="55">
        <f>ROUND(IF(AQ14="0",BJ14,0),2)</f>
        <v>0</v>
      </c>
      <c r="AI14" s="75" t="s">
        <v>103</v>
      </c>
      <c r="AJ14" s="55">
        <f>IF(AN14=0,L14,0)</f>
        <v>0</v>
      </c>
      <c r="AK14" s="55">
        <f>IF(AN14=12,L14,0)</f>
        <v>0</v>
      </c>
      <c r="AL14" s="55">
        <f>IF(AN14=21,L14,0)</f>
        <v>0</v>
      </c>
      <c r="AN14" s="55">
        <v>21</v>
      </c>
      <c r="AO14" s="55">
        <f>H14*0</f>
        <v>0</v>
      </c>
      <c r="AP14" s="55">
        <f>H14*(1-0)</f>
        <v>0</v>
      </c>
      <c r="AQ14" s="54" t="s">
        <v>157</v>
      </c>
      <c r="AV14" s="55">
        <f>ROUND(AW14+AX14,2)</f>
        <v>0</v>
      </c>
      <c r="AW14" s="55">
        <f>ROUND(G14*AO14,2)</f>
        <v>0</v>
      </c>
      <c r="AX14" s="55">
        <f>ROUND(G14*AP14,2)</f>
        <v>0</v>
      </c>
      <c r="AY14" s="54" t="s">
        <v>158</v>
      </c>
      <c r="AZ14" s="54" t="s">
        <v>159</v>
      </c>
      <c r="BA14" s="75" t="s">
        <v>160</v>
      </c>
      <c r="BC14" s="55">
        <f>AW14+AX14</f>
        <v>0</v>
      </c>
      <c r="BD14" s="55">
        <f>H14/(100-BE14)*100</f>
        <v>0</v>
      </c>
      <c r="BE14" s="55">
        <v>0</v>
      </c>
      <c r="BF14" s="55">
        <f>O14</f>
        <v>1.62</v>
      </c>
      <c r="BH14" s="55">
        <f>G14*AO14</f>
        <v>0</v>
      </c>
      <c r="BI14" s="55">
        <f>G14*AP14</f>
        <v>0</v>
      </c>
      <c r="BJ14" s="55">
        <f>G14*H14</f>
        <v>0</v>
      </c>
      <c r="BK14" s="54" t="s">
        <v>161</v>
      </c>
      <c r="BL14" s="55">
        <v>712</v>
      </c>
      <c r="BW14" s="55">
        <f>I14</f>
        <v>21</v>
      </c>
      <c r="BX14" s="16" t="s">
        <v>154</v>
      </c>
    </row>
    <row r="15" spans="1:76" ht="15" customHeight="1" x14ac:dyDescent="0.3">
      <c r="A15" s="94" t="s">
        <v>162</v>
      </c>
      <c r="B15" s="94" t="s">
        <v>103</v>
      </c>
      <c r="C15" s="94" t="s">
        <v>163</v>
      </c>
      <c r="D15" s="199" t="s">
        <v>164</v>
      </c>
      <c r="E15" s="199"/>
      <c r="F15" s="94" t="s">
        <v>155</v>
      </c>
      <c r="G15" s="96">
        <v>162</v>
      </c>
      <c r="H15" s="97"/>
      <c r="I15" s="98">
        <v>21</v>
      </c>
      <c r="J15" s="97">
        <f>ROUND(G15*AO15,2)</f>
        <v>0</v>
      </c>
      <c r="K15" s="97">
        <f>ROUND(G15*AP15,2)</f>
        <v>0</v>
      </c>
      <c r="L15" s="97">
        <f>ROUND(G15*H15,2)</f>
        <v>0</v>
      </c>
      <c r="M15" s="97">
        <f>L15*(1+BW15/100)</f>
        <v>0</v>
      </c>
      <c r="N15" s="97">
        <v>1.4E-2</v>
      </c>
      <c r="O15" s="96">
        <f>G15*N15</f>
        <v>2.2680000000000002</v>
      </c>
      <c r="P15" s="99" t="s">
        <v>156</v>
      </c>
      <c r="Z15" s="55">
        <f>ROUND(IF(AQ15="5",BJ15,0),2)</f>
        <v>0</v>
      </c>
      <c r="AB15" s="55">
        <f>ROUND(IF(AQ15="1",BH15,0),2)</f>
        <v>0</v>
      </c>
      <c r="AC15" s="55">
        <f>ROUND(IF(AQ15="1",BI15,0),2)</f>
        <v>0</v>
      </c>
      <c r="AD15" s="55">
        <f>ROUND(IF(AQ15="7",BH15,0),2)</f>
        <v>0</v>
      </c>
      <c r="AE15" s="55">
        <f>ROUND(IF(AQ15="7",BI15,0),2)</f>
        <v>0</v>
      </c>
      <c r="AF15" s="55">
        <f>ROUND(IF(AQ15="2",BH15,0),2)</f>
        <v>0</v>
      </c>
      <c r="AG15" s="55">
        <f>ROUND(IF(AQ15="2",BI15,0),2)</f>
        <v>0</v>
      </c>
      <c r="AH15" s="55">
        <f>ROUND(IF(AQ15="0",BJ15,0),2)</f>
        <v>0</v>
      </c>
      <c r="AI15" s="75" t="s">
        <v>103</v>
      </c>
      <c r="AJ15" s="55">
        <f>IF(AN15=0,L15,0)</f>
        <v>0</v>
      </c>
      <c r="AK15" s="55">
        <f>IF(AN15=12,L15,0)</f>
        <v>0</v>
      </c>
      <c r="AL15" s="55">
        <f>IF(AN15=21,L15,0)</f>
        <v>0</v>
      </c>
      <c r="AN15" s="55">
        <v>21</v>
      </c>
      <c r="AO15" s="55">
        <f>H15*0</f>
        <v>0</v>
      </c>
      <c r="AP15" s="55">
        <f>H15*(1-0)</f>
        <v>0</v>
      </c>
      <c r="AQ15" s="54" t="s">
        <v>157</v>
      </c>
      <c r="AV15" s="55">
        <f>ROUND(AW15+AX15,2)</f>
        <v>0</v>
      </c>
      <c r="AW15" s="55">
        <f>ROUND(G15*AO15,2)</f>
        <v>0</v>
      </c>
      <c r="AX15" s="55">
        <f>ROUND(G15*AP15,2)</f>
        <v>0</v>
      </c>
      <c r="AY15" s="54" t="s">
        <v>158</v>
      </c>
      <c r="AZ15" s="54" t="s">
        <v>159</v>
      </c>
      <c r="BA15" s="75" t="s">
        <v>160</v>
      </c>
      <c r="BC15" s="55">
        <f>AW15+AX15</f>
        <v>0</v>
      </c>
      <c r="BD15" s="55">
        <f>H15/(100-BE15)*100</f>
        <v>0</v>
      </c>
      <c r="BE15" s="55">
        <v>0</v>
      </c>
      <c r="BF15" s="55">
        <f>O15</f>
        <v>2.2680000000000002</v>
      </c>
      <c r="BH15" s="55">
        <f>G15*AO15</f>
        <v>0</v>
      </c>
      <c r="BI15" s="55">
        <f>G15*AP15</f>
        <v>0</v>
      </c>
      <c r="BJ15" s="55">
        <f>G15*H15</f>
        <v>0</v>
      </c>
      <c r="BK15" s="54" t="s">
        <v>161</v>
      </c>
      <c r="BL15" s="55">
        <v>712</v>
      </c>
      <c r="BW15" s="55">
        <f>I15</f>
        <v>21</v>
      </c>
      <c r="BX15" s="16" t="s">
        <v>164</v>
      </c>
    </row>
    <row r="16" spans="1:76" ht="15" customHeight="1" x14ac:dyDescent="0.3">
      <c r="A16" s="88"/>
      <c r="B16" s="89" t="s">
        <v>103</v>
      </c>
      <c r="C16" s="89" t="s">
        <v>165</v>
      </c>
      <c r="D16" s="198" t="s">
        <v>166</v>
      </c>
      <c r="E16" s="198"/>
      <c r="F16" s="88" t="s">
        <v>96</v>
      </c>
      <c r="G16" s="90" t="s">
        <v>96</v>
      </c>
      <c r="H16" s="88"/>
      <c r="I16" s="88" t="s">
        <v>96</v>
      </c>
      <c r="J16" s="91">
        <f>SUM(J17)</f>
        <v>0</v>
      </c>
      <c r="K16" s="91">
        <f>SUM(K17)</f>
        <v>0</v>
      </c>
      <c r="L16" s="91">
        <f>SUM(L17)</f>
        <v>0</v>
      </c>
      <c r="M16" s="91">
        <f>SUM(M17)</f>
        <v>0</v>
      </c>
      <c r="N16" s="92"/>
      <c r="O16" s="93">
        <f>SUM(O17)</f>
        <v>2.0249999999999999</v>
      </c>
      <c r="P16" s="92"/>
      <c r="AI16" s="75" t="s">
        <v>103</v>
      </c>
      <c r="AS16" s="68">
        <f>SUM(AJ17)</f>
        <v>0</v>
      </c>
      <c r="AT16" s="68">
        <f>SUM(AK17)</f>
        <v>0</v>
      </c>
      <c r="AU16" s="68">
        <f>SUM(AL17)</f>
        <v>0</v>
      </c>
    </row>
    <row r="17" spans="1:76" ht="15" customHeight="1" x14ac:dyDescent="0.3">
      <c r="A17" s="94" t="s">
        <v>167</v>
      </c>
      <c r="B17" s="94" t="s">
        <v>103</v>
      </c>
      <c r="C17" s="94" t="s">
        <v>168</v>
      </c>
      <c r="D17" s="199" t="s">
        <v>169</v>
      </c>
      <c r="E17" s="199"/>
      <c r="F17" s="94" t="s">
        <v>155</v>
      </c>
      <c r="G17" s="96">
        <v>162</v>
      </c>
      <c r="H17" s="97"/>
      <c r="I17" s="98">
        <v>21</v>
      </c>
      <c r="J17" s="97">
        <f>ROUND(G17*AO17,2)</f>
        <v>0</v>
      </c>
      <c r="K17" s="97">
        <f>ROUND(G17*AP17,2)</f>
        <v>0</v>
      </c>
      <c r="L17" s="97">
        <f>ROUND(G17*H17,2)</f>
        <v>0</v>
      </c>
      <c r="M17" s="97">
        <f>L17*(1+BW17/100)</f>
        <v>0</v>
      </c>
      <c r="N17" s="97">
        <v>1.2500000000000001E-2</v>
      </c>
      <c r="O17" s="96">
        <f>G17*N17</f>
        <v>2.0249999999999999</v>
      </c>
      <c r="P17" s="99" t="s">
        <v>156</v>
      </c>
      <c r="Z17" s="55">
        <f>ROUND(IF(AQ17="5",BJ17,0),2)</f>
        <v>0</v>
      </c>
      <c r="AB17" s="55">
        <f>ROUND(IF(AQ17="1",BH17,0),2)</f>
        <v>0</v>
      </c>
      <c r="AC17" s="55">
        <f>ROUND(IF(AQ17="1",BI17,0),2)</f>
        <v>0</v>
      </c>
      <c r="AD17" s="55">
        <f>ROUND(IF(AQ17="7",BH17,0),2)</f>
        <v>0</v>
      </c>
      <c r="AE17" s="55">
        <f>ROUND(IF(AQ17="7",BI17,0),2)</f>
        <v>0</v>
      </c>
      <c r="AF17" s="55">
        <f>ROUND(IF(AQ17="2",BH17,0),2)</f>
        <v>0</v>
      </c>
      <c r="AG17" s="55">
        <f>ROUND(IF(AQ17="2",BI17,0),2)</f>
        <v>0</v>
      </c>
      <c r="AH17" s="55">
        <f>ROUND(IF(AQ17="0",BJ17,0),2)</f>
        <v>0</v>
      </c>
      <c r="AI17" s="75" t="s">
        <v>103</v>
      </c>
      <c r="AJ17" s="55">
        <f>IF(AN17=0,L17,0)</f>
        <v>0</v>
      </c>
      <c r="AK17" s="55">
        <f>IF(AN17=12,L17,0)</f>
        <v>0</v>
      </c>
      <c r="AL17" s="55">
        <f>IF(AN17=21,L17,0)</f>
        <v>0</v>
      </c>
      <c r="AN17" s="55">
        <v>21</v>
      </c>
      <c r="AO17" s="55">
        <f>H17*0</f>
        <v>0</v>
      </c>
      <c r="AP17" s="55">
        <f>H17*(1-0)</f>
        <v>0</v>
      </c>
      <c r="AQ17" s="54" t="s">
        <v>157</v>
      </c>
      <c r="AV17" s="55">
        <f>ROUND(AW17+AX17,2)</f>
        <v>0</v>
      </c>
      <c r="AW17" s="55">
        <f>ROUND(G17*AO17,2)</f>
        <v>0</v>
      </c>
      <c r="AX17" s="55">
        <f>ROUND(G17*AP17,2)</f>
        <v>0</v>
      </c>
      <c r="AY17" s="54" t="s">
        <v>170</v>
      </c>
      <c r="AZ17" s="54" t="s">
        <v>159</v>
      </c>
      <c r="BA17" s="75" t="s">
        <v>160</v>
      </c>
      <c r="BC17" s="55">
        <f>AW17+AX17</f>
        <v>0</v>
      </c>
      <c r="BD17" s="55">
        <f>H17/(100-BE17)*100</f>
        <v>0</v>
      </c>
      <c r="BE17" s="55">
        <v>0</v>
      </c>
      <c r="BF17" s="55">
        <f>O17</f>
        <v>2.0249999999999999</v>
      </c>
      <c r="BH17" s="55">
        <f>G17*AO17</f>
        <v>0</v>
      </c>
      <c r="BI17" s="55">
        <f>G17*AP17</f>
        <v>0</v>
      </c>
      <c r="BJ17" s="55">
        <f>G17*H17</f>
        <v>0</v>
      </c>
      <c r="BK17" s="54" t="s">
        <v>161</v>
      </c>
      <c r="BL17" s="55">
        <v>713</v>
      </c>
      <c r="BW17" s="55">
        <f>I17</f>
        <v>21</v>
      </c>
      <c r="BX17" s="16" t="s">
        <v>169</v>
      </c>
    </row>
    <row r="18" spans="1:76" ht="15" customHeight="1" x14ac:dyDescent="0.3">
      <c r="A18" s="88"/>
      <c r="B18" s="89" t="s">
        <v>103</v>
      </c>
      <c r="C18" s="89" t="s">
        <v>171</v>
      </c>
      <c r="D18" s="198" t="s">
        <v>172</v>
      </c>
      <c r="E18" s="198"/>
      <c r="F18" s="88" t="s">
        <v>96</v>
      </c>
      <c r="G18" s="90" t="s">
        <v>96</v>
      </c>
      <c r="H18" s="88"/>
      <c r="I18" s="88" t="s">
        <v>96</v>
      </c>
      <c r="J18" s="91">
        <f>SUM(J19:J21)</f>
        <v>0</v>
      </c>
      <c r="K18" s="91">
        <f>SUM(K19:K21)</f>
        <v>0</v>
      </c>
      <c r="L18" s="91">
        <f>SUM(L19:L21)</f>
        <v>0</v>
      </c>
      <c r="M18" s="91">
        <f>SUM(M19:M21)</f>
        <v>0</v>
      </c>
      <c r="N18" s="92"/>
      <c r="O18" s="93">
        <f>SUM(O19:O21)</f>
        <v>0.40039999999999998</v>
      </c>
      <c r="P18" s="92"/>
      <c r="AI18" s="75" t="s">
        <v>103</v>
      </c>
      <c r="AS18" s="68">
        <f>SUM(AJ19:AJ21)</f>
        <v>0</v>
      </c>
      <c r="AT18" s="68">
        <f>SUM(AK19:AK21)</f>
        <v>0</v>
      </c>
      <c r="AU18" s="68">
        <f>SUM(AL19:AL21)</f>
        <v>0</v>
      </c>
    </row>
    <row r="19" spans="1:76" ht="15" customHeight="1" x14ac:dyDescent="0.3">
      <c r="A19" s="94" t="s">
        <v>173</v>
      </c>
      <c r="B19" s="94" t="s">
        <v>103</v>
      </c>
      <c r="C19" s="94" t="s">
        <v>174</v>
      </c>
      <c r="D19" s="199" t="s">
        <v>175</v>
      </c>
      <c r="E19" s="199"/>
      <c r="F19" s="94" t="s">
        <v>176</v>
      </c>
      <c r="G19" s="96">
        <v>20</v>
      </c>
      <c r="H19" s="97"/>
      <c r="I19" s="98">
        <v>21</v>
      </c>
      <c r="J19" s="97">
        <f>ROUND(G19*AO19,2)</f>
        <v>0</v>
      </c>
      <c r="K19" s="97">
        <f>ROUND(G19*AP19,2)</f>
        <v>0</v>
      </c>
      <c r="L19" s="97">
        <f>ROUND(G19*H19,2)</f>
        <v>0</v>
      </c>
      <c r="M19" s="97">
        <f>L19*(1+BW19/100)</f>
        <v>0</v>
      </c>
      <c r="N19" s="97">
        <v>1.4919999999999999E-2</v>
      </c>
      <c r="O19" s="96">
        <f>G19*N19</f>
        <v>0.2984</v>
      </c>
      <c r="P19" s="99" t="s">
        <v>156</v>
      </c>
      <c r="Z19" s="55">
        <f>ROUND(IF(AQ19="5",BJ19,0),2)</f>
        <v>0</v>
      </c>
      <c r="AB19" s="55">
        <f>ROUND(IF(AQ19="1",BH19,0),2)</f>
        <v>0</v>
      </c>
      <c r="AC19" s="55">
        <f>ROUND(IF(AQ19="1",BI19,0),2)</f>
        <v>0</v>
      </c>
      <c r="AD19" s="55">
        <f>ROUND(IF(AQ19="7",BH19,0),2)</f>
        <v>0</v>
      </c>
      <c r="AE19" s="55">
        <f>ROUND(IF(AQ19="7",BI19,0),2)</f>
        <v>0</v>
      </c>
      <c r="AF19" s="55">
        <f>ROUND(IF(AQ19="2",BH19,0),2)</f>
        <v>0</v>
      </c>
      <c r="AG19" s="55">
        <f>ROUND(IF(AQ19="2",BI19,0),2)</f>
        <v>0</v>
      </c>
      <c r="AH19" s="55">
        <f>ROUND(IF(AQ19="0",BJ19,0),2)</f>
        <v>0</v>
      </c>
      <c r="AI19" s="75" t="s">
        <v>103</v>
      </c>
      <c r="AJ19" s="55">
        <f>IF(AN19=0,L19,0)</f>
        <v>0</v>
      </c>
      <c r="AK19" s="55">
        <f>IF(AN19=12,L19,0)</f>
        <v>0</v>
      </c>
      <c r="AL19" s="55">
        <f>IF(AN19=21,L19,0)</f>
        <v>0</v>
      </c>
      <c r="AN19" s="55">
        <v>21</v>
      </c>
      <c r="AO19" s="55">
        <f>H19*0</f>
        <v>0</v>
      </c>
      <c r="AP19" s="55">
        <f>H19*(1-0)</f>
        <v>0</v>
      </c>
      <c r="AQ19" s="54" t="s">
        <v>157</v>
      </c>
      <c r="AV19" s="55">
        <f>ROUND(AW19+AX19,2)</f>
        <v>0</v>
      </c>
      <c r="AW19" s="55">
        <f>ROUND(G19*AO19,2)</f>
        <v>0</v>
      </c>
      <c r="AX19" s="55">
        <f>ROUND(G19*AP19,2)</f>
        <v>0</v>
      </c>
      <c r="AY19" s="54" t="s">
        <v>177</v>
      </c>
      <c r="AZ19" s="54" t="s">
        <v>178</v>
      </c>
      <c r="BA19" s="75" t="s">
        <v>160</v>
      </c>
      <c r="BC19" s="55">
        <f>AW19+AX19</f>
        <v>0</v>
      </c>
      <c r="BD19" s="55">
        <f>H19/(100-BE19)*100</f>
        <v>0</v>
      </c>
      <c r="BE19" s="55">
        <v>0</v>
      </c>
      <c r="BF19" s="55">
        <f>O19</f>
        <v>0.2984</v>
      </c>
      <c r="BH19" s="55">
        <f>G19*AO19</f>
        <v>0</v>
      </c>
      <c r="BI19" s="55">
        <f>G19*AP19</f>
        <v>0</v>
      </c>
      <c r="BJ19" s="55">
        <f>G19*H19</f>
        <v>0</v>
      </c>
      <c r="BK19" s="54" t="s">
        <v>161</v>
      </c>
      <c r="BL19" s="55">
        <v>721</v>
      </c>
      <c r="BW19" s="55">
        <f>I19</f>
        <v>21</v>
      </c>
      <c r="BX19" s="16" t="s">
        <v>175</v>
      </c>
    </row>
    <row r="20" spans="1:76" ht="15" customHeight="1" x14ac:dyDescent="0.3">
      <c r="A20" s="94" t="s">
        <v>179</v>
      </c>
      <c r="B20" s="94" t="s">
        <v>103</v>
      </c>
      <c r="C20" s="94" t="s">
        <v>180</v>
      </c>
      <c r="D20" s="199" t="s">
        <v>181</v>
      </c>
      <c r="E20" s="199"/>
      <c r="F20" s="94" t="s">
        <v>176</v>
      </c>
      <c r="G20" s="96">
        <v>25</v>
      </c>
      <c r="H20" s="97"/>
      <c r="I20" s="98">
        <v>21</v>
      </c>
      <c r="J20" s="97">
        <f>ROUND(G20*AO20,2)</f>
        <v>0</v>
      </c>
      <c r="K20" s="97">
        <f>ROUND(G20*AP20,2)</f>
        <v>0</v>
      </c>
      <c r="L20" s="97">
        <f>ROUND(G20*H20,2)</f>
        <v>0</v>
      </c>
      <c r="M20" s="97">
        <f>L20*(1+BW20/100)</f>
        <v>0</v>
      </c>
      <c r="N20" s="97">
        <v>1.98E-3</v>
      </c>
      <c r="O20" s="96">
        <f>G20*N20</f>
        <v>4.9500000000000002E-2</v>
      </c>
      <c r="P20" s="99" t="s">
        <v>156</v>
      </c>
      <c r="Z20" s="55">
        <f>ROUND(IF(AQ20="5",BJ20,0),2)</f>
        <v>0</v>
      </c>
      <c r="AB20" s="55">
        <f>ROUND(IF(AQ20="1",BH20,0),2)</f>
        <v>0</v>
      </c>
      <c r="AC20" s="55">
        <f>ROUND(IF(AQ20="1",BI20,0),2)</f>
        <v>0</v>
      </c>
      <c r="AD20" s="55">
        <f>ROUND(IF(AQ20="7",BH20,0),2)</f>
        <v>0</v>
      </c>
      <c r="AE20" s="55">
        <f>ROUND(IF(AQ20="7",BI20,0),2)</f>
        <v>0</v>
      </c>
      <c r="AF20" s="55">
        <f>ROUND(IF(AQ20="2",BH20,0),2)</f>
        <v>0</v>
      </c>
      <c r="AG20" s="55">
        <f>ROUND(IF(AQ20="2",BI20,0),2)</f>
        <v>0</v>
      </c>
      <c r="AH20" s="55">
        <f>ROUND(IF(AQ20="0",BJ20,0),2)</f>
        <v>0</v>
      </c>
      <c r="AI20" s="75" t="s">
        <v>103</v>
      </c>
      <c r="AJ20" s="55">
        <f>IF(AN20=0,L20,0)</f>
        <v>0</v>
      </c>
      <c r="AK20" s="55">
        <f>IF(AN20=12,L20,0)</f>
        <v>0</v>
      </c>
      <c r="AL20" s="55">
        <f>IF(AN20=21,L20,0)</f>
        <v>0</v>
      </c>
      <c r="AN20" s="55">
        <v>21</v>
      </c>
      <c r="AO20" s="55">
        <f>H20*0</f>
        <v>0</v>
      </c>
      <c r="AP20" s="55">
        <f>H20*(1-0)</f>
        <v>0</v>
      </c>
      <c r="AQ20" s="54" t="s">
        <v>157</v>
      </c>
      <c r="AV20" s="55">
        <f>ROUND(AW20+AX20,2)</f>
        <v>0</v>
      </c>
      <c r="AW20" s="55">
        <f>ROUND(G20*AO20,2)</f>
        <v>0</v>
      </c>
      <c r="AX20" s="55">
        <f>ROUND(G20*AP20,2)</f>
        <v>0</v>
      </c>
      <c r="AY20" s="54" t="s">
        <v>177</v>
      </c>
      <c r="AZ20" s="54" t="s">
        <v>178</v>
      </c>
      <c r="BA20" s="75" t="s">
        <v>160</v>
      </c>
      <c r="BC20" s="55">
        <f>AW20+AX20</f>
        <v>0</v>
      </c>
      <c r="BD20" s="55">
        <f>H20/(100-BE20)*100</f>
        <v>0</v>
      </c>
      <c r="BE20" s="55">
        <v>0</v>
      </c>
      <c r="BF20" s="55">
        <f>O20</f>
        <v>4.9500000000000002E-2</v>
      </c>
      <c r="BH20" s="55">
        <f>G20*AO20</f>
        <v>0</v>
      </c>
      <c r="BI20" s="55">
        <f>G20*AP20</f>
        <v>0</v>
      </c>
      <c r="BJ20" s="55">
        <f>G20*H20</f>
        <v>0</v>
      </c>
      <c r="BK20" s="54" t="s">
        <v>161</v>
      </c>
      <c r="BL20" s="55">
        <v>721</v>
      </c>
      <c r="BW20" s="55">
        <f>I20</f>
        <v>21</v>
      </c>
      <c r="BX20" s="16" t="s">
        <v>181</v>
      </c>
    </row>
    <row r="21" spans="1:76" ht="15" customHeight="1" x14ac:dyDescent="0.3">
      <c r="A21" s="94" t="s">
        <v>182</v>
      </c>
      <c r="B21" s="94" t="s">
        <v>103</v>
      </c>
      <c r="C21" s="94" t="s">
        <v>183</v>
      </c>
      <c r="D21" s="199" t="s">
        <v>184</v>
      </c>
      <c r="E21" s="199"/>
      <c r="F21" s="94" t="s">
        <v>176</v>
      </c>
      <c r="G21" s="96">
        <v>25</v>
      </c>
      <c r="H21" s="97"/>
      <c r="I21" s="98">
        <v>21</v>
      </c>
      <c r="J21" s="97">
        <f>ROUND(G21*AO21,2)</f>
        <v>0</v>
      </c>
      <c r="K21" s="97">
        <f>ROUND(G21*AP21,2)</f>
        <v>0</v>
      </c>
      <c r="L21" s="97">
        <f>ROUND(G21*H21,2)</f>
        <v>0</v>
      </c>
      <c r="M21" s="97">
        <f>L21*(1+BW21/100)</f>
        <v>0</v>
      </c>
      <c r="N21" s="97">
        <v>2.0999999999999999E-3</v>
      </c>
      <c r="O21" s="96">
        <f>G21*N21</f>
        <v>5.2499999999999998E-2</v>
      </c>
      <c r="P21" s="99" t="s">
        <v>156</v>
      </c>
      <c r="Z21" s="55">
        <f>ROUND(IF(AQ21="5",BJ21,0),2)</f>
        <v>0</v>
      </c>
      <c r="AB21" s="55">
        <f>ROUND(IF(AQ21="1",BH21,0),2)</f>
        <v>0</v>
      </c>
      <c r="AC21" s="55">
        <f>ROUND(IF(AQ21="1",BI21,0),2)</f>
        <v>0</v>
      </c>
      <c r="AD21" s="55">
        <f>ROUND(IF(AQ21="7",BH21,0),2)</f>
        <v>0</v>
      </c>
      <c r="AE21" s="55">
        <f>ROUND(IF(AQ21="7",BI21,0),2)</f>
        <v>0</v>
      </c>
      <c r="AF21" s="55">
        <f>ROUND(IF(AQ21="2",BH21,0),2)</f>
        <v>0</v>
      </c>
      <c r="AG21" s="55">
        <f>ROUND(IF(AQ21="2",BI21,0),2)</f>
        <v>0</v>
      </c>
      <c r="AH21" s="55">
        <f>ROUND(IF(AQ21="0",BJ21,0),2)</f>
        <v>0</v>
      </c>
      <c r="AI21" s="75" t="s">
        <v>103</v>
      </c>
      <c r="AJ21" s="55">
        <f>IF(AN21=0,L21,0)</f>
        <v>0</v>
      </c>
      <c r="AK21" s="55">
        <f>IF(AN21=12,L21,0)</f>
        <v>0</v>
      </c>
      <c r="AL21" s="55">
        <f>IF(AN21=21,L21,0)</f>
        <v>0</v>
      </c>
      <c r="AN21" s="55">
        <v>21</v>
      </c>
      <c r="AO21" s="55">
        <f>H21*0</f>
        <v>0</v>
      </c>
      <c r="AP21" s="55">
        <f>H21*(1-0)</f>
        <v>0</v>
      </c>
      <c r="AQ21" s="54" t="s">
        <v>157</v>
      </c>
      <c r="AV21" s="55">
        <f>ROUND(AW21+AX21,2)</f>
        <v>0</v>
      </c>
      <c r="AW21" s="55">
        <f>ROUND(G21*AO21,2)</f>
        <v>0</v>
      </c>
      <c r="AX21" s="55">
        <f>ROUND(G21*AP21,2)</f>
        <v>0</v>
      </c>
      <c r="AY21" s="54" t="s">
        <v>177</v>
      </c>
      <c r="AZ21" s="54" t="s">
        <v>178</v>
      </c>
      <c r="BA21" s="75" t="s">
        <v>160</v>
      </c>
      <c r="BC21" s="55">
        <f>AW21+AX21</f>
        <v>0</v>
      </c>
      <c r="BD21" s="55">
        <f>H21/(100-BE21)*100</f>
        <v>0</v>
      </c>
      <c r="BE21" s="55">
        <v>0</v>
      </c>
      <c r="BF21" s="55">
        <f>O21</f>
        <v>5.2499999999999998E-2</v>
      </c>
      <c r="BH21" s="55">
        <f>G21*AO21</f>
        <v>0</v>
      </c>
      <c r="BI21" s="55">
        <f>G21*AP21</f>
        <v>0</v>
      </c>
      <c r="BJ21" s="55">
        <f>G21*H21</f>
        <v>0</v>
      </c>
      <c r="BK21" s="54" t="s">
        <v>161</v>
      </c>
      <c r="BL21" s="55">
        <v>721</v>
      </c>
      <c r="BW21" s="55">
        <f>I21</f>
        <v>21</v>
      </c>
      <c r="BX21" s="16" t="s">
        <v>184</v>
      </c>
    </row>
    <row r="22" spans="1:76" ht="15" customHeight="1" x14ac:dyDescent="0.3">
      <c r="A22" s="88"/>
      <c r="B22" s="89" t="s">
        <v>103</v>
      </c>
      <c r="C22" s="89" t="s">
        <v>185</v>
      </c>
      <c r="D22" s="198" t="s">
        <v>186</v>
      </c>
      <c r="E22" s="198"/>
      <c r="F22" s="88" t="s">
        <v>96</v>
      </c>
      <c r="G22" s="90" t="s">
        <v>96</v>
      </c>
      <c r="H22" s="88"/>
      <c r="I22" s="88" t="s">
        <v>96</v>
      </c>
      <c r="J22" s="91">
        <f>SUM(J23:J24)</f>
        <v>0</v>
      </c>
      <c r="K22" s="91">
        <f>SUM(K23:K24)</f>
        <v>0</v>
      </c>
      <c r="L22" s="91">
        <f>SUM(L23:L24)</f>
        <v>0</v>
      </c>
      <c r="M22" s="91">
        <f>SUM(M23:M24)</f>
        <v>0</v>
      </c>
      <c r="N22" s="92"/>
      <c r="O22" s="93">
        <f>SUM(O23:O24)</f>
        <v>0.23784999999999998</v>
      </c>
      <c r="P22" s="92"/>
      <c r="AI22" s="75" t="s">
        <v>103</v>
      </c>
      <c r="AS22" s="68">
        <f>SUM(AJ23:AJ24)</f>
        <v>0</v>
      </c>
      <c r="AT22" s="68">
        <f>SUM(AK23:AK24)</f>
        <v>0</v>
      </c>
      <c r="AU22" s="68">
        <f>SUM(AL23:AL24)</f>
        <v>0</v>
      </c>
    </row>
    <row r="23" spans="1:76" ht="15" customHeight="1" x14ac:dyDescent="0.3">
      <c r="A23" s="94" t="s">
        <v>157</v>
      </c>
      <c r="B23" s="94" t="s">
        <v>103</v>
      </c>
      <c r="C23" s="94" t="s">
        <v>187</v>
      </c>
      <c r="D23" s="199" t="s">
        <v>188</v>
      </c>
      <c r="E23" s="199"/>
      <c r="F23" s="94" t="s">
        <v>176</v>
      </c>
      <c r="G23" s="96">
        <v>20</v>
      </c>
      <c r="H23" s="97"/>
      <c r="I23" s="98">
        <v>21</v>
      </c>
      <c r="J23" s="97">
        <f>ROUND(G23*AO23,2)</f>
        <v>0</v>
      </c>
      <c r="K23" s="97">
        <f>ROUND(G23*AP23,2)</f>
        <v>0</v>
      </c>
      <c r="L23" s="97">
        <f>ROUND(G23*H23,2)</f>
        <v>0</v>
      </c>
      <c r="M23" s="97">
        <f>L23*(1+BW23/100)</f>
        <v>0</v>
      </c>
      <c r="N23" s="97">
        <v>4.9699999999999996E-3</v>
      </c>
      <c r="O23" s="96">
        <f>G23*N23</f>
        <v>9.9399999999999988E-2</v>
      </c>
      <c r="P23" s="99" t="s">
        <v>156</v>
      </c>
      <c r="Z23" s="55">
        <f>ROUND(IF(AQ23="5",BJ23,0),2)</f>
        <v>0</v>
      </c>
      <c r="AB23" s="55">
        <f>ROUND(IF(AQ23="1",BH23,0),2)</f>
        <v>0</v>
      </c>
      <c r="AC23" s="55">
        <f>ROUND(IF(AQ23="1",BI23,0),2)</f>
        <v>0</v>
      </c>
      <c r="AD23" s="55">
        <f>ROUND(IF(AQ23="7",BH23,0),2)</f>
        <v>0</v>
      </c>
      <c r="AE23" s="55">
        <f>ROUND(IF(AQ23="7",BI23,0),2)</f>
        <v>0</v>
      </c>
      <c r="AF23" s="55">
        <f>ROUND(IF(AQ23="2",BH23,0),2)</f>
        <v>0</v>
      </c>
      <c r="AG23" s="55">
        <f>ROUND(IF(AQ23="2",BI23,0),2)</f>
        <v>0</v>
      </c>
      <c r="AH23" s="55">
        <f>ROUND(IF(AQ23="0",BJ23,0),2)</f>
        <v>0</v>
      </c>
      <c r="AI23" s="75" t="s">
        <v>103</v>
      </c>
      <c r="AJ23" s="55">
        <f>IF(AN23=0,L23,0)</f>
        <v>0</v>
      </c>
      <c r="AK23" s="55">
        <f>IF(AN23=12,L23,0)</f>
        <v>0</v>
      </c>
      <c r="AL23" s="55">
        <f>IF(AN23=21,L23,0)</f>
        <v>0</v>
      </c>
      <c r="AN23" s="55">
        <v>21</v>
      </c>
      <c r="AO23" s="55">
        <f>H23*0</f>
        <v>0</v>
      </c>
      <c r="AP23" s="55">
        <f>H23*(1-0)</f>
        <v>0</v>
      </c>
      <c r="AQ23" s="54" t="s">
        <v>157</v>
      </c>
      <c r="AV23" s="55">
        <f>ROUND(AW23+AX23,2)</f>
        <v>0</v>
      </c>
      <c r="AW23" s="55">
        <f>ROUND(G23*AO23,2)</f>
        <v>0</v>
      </c>
      <c r="AX23" s="55">
        <f>ROUND(G23*AP23,2)</f>
        <v>0</v>
      </c>
      <c r="AY23" s="54" t="s">
        <v>189</v>
      </c>
      <c r="AZ23" s="54" t="s">
        <v>178</v>
      </c>
      <c r="BA23" s="75" t="s">
        <v>160</v>
      </c>
      <c r="BC23" s="55">
        <f>AW23+AX23</f>
        <v>0</v>
      </c>
      <c r="BD23" s="55">
        <f>H23/(100-BE23)*100</f>
        <v>0</v>
      </c>
      <c r="BE23" s="55">
        <v>0</v>
      </c>
      <c r="BF23" s="55">
        <f>O23</f>
        <v>9.9399999999999988E-2</v>
      </c>
      <c r="BH23" s="55">
        <f>G23*AO23</f>
        <v>0</v>
      </c>
      <c r="BI23" s="55">
        <f>G23*AP23</f>
        <v>0</v>
      </c>
      <c r="BJ23" s="55">
        <f>G23*H23</f>
        <v>0</v>
      </c>
      <c r="BK23" s="54" t="s">
        <v>161</v>
      </c>
      <c r="BL23" s="55">
        <v>722</v>
      </c>
      <c r="BW23" s="55">
        <f>I23</f>
        <v>21</v>
      </c>
      <c r="BX23" s="16" t="s">
        <v>188</v>
      </c>
    </row>
    <row r="24" spans="1:76" ht="15" customHeight="1" x14ac:dyDescent="0.3">
      <c r="A24" s="94" t="s">
        <v>190</v>
      </c>
      <c r="B24" s="94" t="s">
        <v>103</v>
      </c>
      <c r="C24" s="94" t="s">
        <v>191</v>
      </c>
      <c r="D24" s="199" t="s">
        <v>192</v>
      </c>
      <c r="E24" s="199"/>
      <c r="F24" s="94" t="s">
        <v>176</v>
      </c>
      <c r="G24" s="96">
        <v>65</v>
      </c>
      <c r="H24" s="97"/>
      <c r="I24" s="98">
        <v>21</v>
      </c>
      <c r="J24" s="97">
        <f>ROUND(G24*AO24,2)</f>
        <v>0</v>
      </c>
      <c r="K24" s="97">
        <f>ROUND(G24*AP24,2)</f>
        <v>0</v>
      </c>
      <c r="L24" s="97">
        <f>ROUND(G24*H24,2)</f>
        <v>0</v>
      </c>
      <c r="M24" s="97">
        <f>L24*(1+BW24/100)</f>
        <v>0</v>
      </c>
      <c r="N24" s="97">
        <v>2.1299999999999999E-3</v>
      </c>
      <c r="O24" s="96">
        <f>G24*N24</f>
        <v>0.13844999999999999</v>
      </c>
      <c r="P24" s="99" t="s">
        <v>156</v>
      </c>
      <c r="Z24" s="55">
        <f>ROUND(IF(AQ24="5",BJ24,0),2)</f>
        <v>0</v>
      </c>
      <c r="AB24" s="55">
        <f>ROUND(IF(AQ24="1",BH24,0),2)</f>
        <v>0</v>
      </c>
      <c r="AC24" s="55">
        <f>ROUND(IF(AQ24="1",BI24,0),2)</f>
        <v>0</v>
      </c>
      <c r="AD24" s="55">
        <f>ROUND(IF(AQ24="7",BH24,0),2)</f>
        <v>0</v>
      </c>
      <c r="AE24" s="55">
        <f>ROUND(IF(AQ24="7",BI24,0),2)</f>
        <v>0</v>
      </c>
      <c r="AF24" s="55">
        <f>ROUND(IF(AQ24="2",BH24,0),2)</f>
        <v>0</v>
      </c>
      <c r="AG24" s="55">
        <f>ROUND(IF(AQ24="2",BI24,0),2)</f>
        <v>0</v>
      </c>
      <c r="AH24" s="55">
        <f>ROUND(IF(AQ24="0",BJ24,0),2)</f>
        <v>0</v>
      </c>
      <c r="AI24" s="75" t="s">
        <v>103</v>
      </c>
      <c r="AJ24" s="55">
        <f>IF(AN24=0,L24,0)</f>
        <v>0</v>
      </c>
      <c r="AK24" s="55">
        <f>IF(AN24=12,L24,0)</f>
        <v>0</v>
      </c>
      <c r="AL24" s="55">
        <f>IF(AN24=21,L24,0)</f>
        <v>0</v>
      </c>
      <c r="AN24" s="55">
        <v>21</v>
      </c>
      <c r="AO24" s="55">
        <f>H24*0</f>
        <v>0</v>
      </c>
      <c r="AP24" s="55">
        <f>H24*(1-0)</f>
        <v>0</v>
      </c>
      <c r="AQ24" s="54" t="s">
        <v>157</v>
      </c>
      <c r="AV24" s="55">
        <f>ROUND(AW24+AX24,2)</f>
        <v>0</v>
      </c>
      <c r="AW24" s="55">
        <f>ROUND(G24*AO24,2)</f>
        <v>0</v>
      </c>
      <c r="AX24" s="55">
        <f>ROUND(G24*AP24,2)</f>
        <v>0</v>
      </c>
      <c r="AY24" s="54" t="s">
        <v>189</v>
      </c>
      <c r="AZ24" s="54" t="s">
        <v>178</v>
      </c>
      <c r="BA24" s="75" t="s">
        <v>160</v>
      </c>
      <c r="BC24" s="55">
        <f>AW24+AX24</f>
        <v>0</v>
      </c>
      <c r="BD24" s="55">
        <f>H24/(100-BE24)*100</f>
        <v>0</v>
      </c>
      <c r="BE24" s="55">
        <v>0</v>
      </c>
      <c r="BF24" s="55">
        <f>O24</f>
        <v>0.13844999999999999</v>
      </c>
      <c r="BH24" s="55">
        <f>G24*AO24</f>
        <v>0</v>
      </c>
      <c r="BI24" s="55">
        <f>G24*AP24</f>
        <v>0</v>
      </c>
      <c r="BJ24" s="55">
        <f>G24*H24</f>
        <v>0</v>
      </c>
      <c r="BK24" s="54" t="s">
        <v>161</v>
      </c>
      <c r="BL24" s="55">
        <v>722</v>
      </c>
      <c r="BW24" s="55">
        <f>I24</f>
        <v>21</v>
      </c>
      <c r="BX24" s="16" t="s">
        <v>192</v>
      </c>
    </row>
    <row r="25" spans="1:76" ht="15" customHeight="1" x14ac:dyDescent="0.3">
      <c r="A25" s="88"/>
      <c r="B25" s="89" t="s">
        <v>103</v>
      </c>
      <c r="C25" s="89" t="s">
        <v>193</v>
      </c>
      <c r="D25" s="198" t="s">
        <v>194</v>
      </c>
      <c r="E25" s="198"/>
      <c r="F25" s="88" t="s">
        <v>96</v>
      </c>
      <c r="G25" s="90" t="s">
        <v>96</v>
      </c>
      <c r="H25" s="88"/>
      <c r="I25" s="88" t="s">
        <v>96</v>
      </c>
      <c r="J25" s="91">
        <f>SUM(J26:J31)</f>
        <v>0</v>
      </c>
      <c r="K25" s="91">
        <f>SUM(K26:K31)</f>
        <v>0</v>
      </c>
      <c r="L25" s="91">
        <f>SUM(L26:L31)</f>
        <v>0</v>
      </c>
      <c r="M25" s="91">
        <f>SUM(M26:M31)</f>
        <v>0</v>
      </c>
      <c r="N25" s="92"/>
      <c r="O25" s="93">
        <f>SUM(O26:O31)</f>
        <v>0.97698999999999991</v>
      </c>
      <c r="P25" s="92"/>
      <c r="AI25" s="75" t="s">
        <v>103</v>
      </c>
      <c r="AS25" s="68">
        <f>SUM(AJ26:AJ31)</f>
        <v>0</v>
      </c>
      <c r="AT25" s="68">
        <f>SUM(AK26:AK31)</f>
        <v>0</v>
      </c>
      <c r="AU25" s="68">
        <f>SUM(AL26:AL31)</f>
        <v>0</v>
      </c>
    </row>
    <row r="26" spans="1:76" ht="15" customHeight="1" x14ac:dyDescent="0.3">
      <c r="A26" s="94" t="s">
        <v>195</v>
      </c>
      <c r="B26" s="94" t="s">
        <v>103</v>
      </c>
      <c r="C26" s="94" t="s">
        <v>196</v>
      </c>
      <c r="D26" s="199" t="s">
        <v>197</v>
      </c>
      <c r="E26" s="199"/>
      <c r="F26" s="94" t="s">
        <v>198</v>
      </c>
      <c r="G26" s="96">
        <v>4</v>
      </c>
      <c r="H26" s="97"/>
      <c r="I26" s="98">
        <v>21</v>
      </c>
      <c r="J26" s="97">
        <f t="shared" ref="J26:J31" si="0">ROUND(G26*AO26,2)</f>
        <v>0</v>
      </c>
      <c r="K26" s="97">
        <f t="shared" ref="K26:K31" si="1">ROUND(G26*AP26,2)</f>
        <v>0</v>
      </c>
      <c r="L26" s="97">
        <f t="shared" ref="L26:L31" si="2">ROUND(G26*H26,2)</f>
        <v>0</v>
      </c>
      <c r="M26" s="97">
        <f t="shared" ref="M26:M31" si="3">L26*(1+BW26/100)</f>
        <v>0</v>
      </c>
      <c r="N26" s="97">
        <v>0.125</v>
      </c>
      <c r="O26" s="96">
        <f t="shared" ref="O26:O31" si="4">G26*N26</f>
        <v>0.5</v>
      </c>
      <c r="P26" s="99" t="s">
        <v>156</v>
      </c>
      <c r="Z26" s="55">
        <f t="shared" ref="Z26:Z31" si="5">ROUND(IF(AQ26="5",BJ26,0),2)</f>
        <v>0</v>
      </c>
      <c r="AB26" s="55">
        <f t="shared" ref="AB26:AB31" si="6">ROUND(IF(AQ26="1",BH26,0),2)</f>
        <v>0</v>
      </c>
      <c r="AC26" s="55">
        <f t="shared" ref="AC26:AC31" si="7">ROUND(IF(AQ26="1",BI26,0),2)</f>
        <v>0</v>
      </c>
      <c r="AD26" s="55">
        <f t="shared" ref="AD26:AD31" si="8">ROUND(IF(AQ26="7",BH26,0),2)</f>
        <v>0</v>
      </c>
      <c r="AE26" s="55">
        <f t="shared" ref="AE26:AE31" si="9">ROUND(IF(AQ26="7",BI26,0),2)</f>
        <v>0</v>
      </c>
      <c r="AF26" s="55">
        <f t="shared" ref="AF26:AF31" si="10">ROUND(IF(AQ26="2",BH26,0),2)</f>
        <v>0</v>
      </c>
      <c r="AG26" s="55">
        <f t="shared" ref="AG26:AG31" si="11">ROUND(IF(AQ26="2",BI26,0),2)</f>
        <v>0</v>
      </c>
      <c r="AH26" s="55">
        <f t="shared" ref="AH26:AH31" si="12">ROUND(IF(AQ26="0",BJ26,0),2)</f>
        <v>0</v>
      </c>
      <c r="AI26" s="75" t="s">
        <v>103</v>
      </c>
      <c r="AJ26" s="55">
        <f t="shared" ref="AJ26:AJ31" si="13">IF(AN26=0,L26,0)</f>
        <v>0</v>
      </c>
      <c r="AK26" s="55">
        <f t="shared" ref="AK26:AK31" si="14">IF(AN26=12,L26,0)</f>
        <v>0</v>
      </c>
      <c r="AL26" s="55">
        <f t="shared" ref="AL26:AL31" si="15">IF(AN26=21,L26,0)</f>
        <v>0</v>
      </c>
      <c r="AN26" s="55">
        <v>21</v>
      </c>
      <c r="AO26" s="55">
        <f t="shared" ref="AO26:AO31" si="16">H26*0</f>
        <v>0</v>
      </c>
      <c r="AP26" s="55">
        <f t="shared" ref="AP26:AP31" si="17">H26*(1-0)</f>
        <v>0</v>
      </c>
      <c r="AQ26" s="54" t="s">
        <v>157</v>
      </c>
      <c r="AV26" s="55">
        <f t="shared" ref="AV26:AV31" si="18">ROUND(AW26+AX26,2)</f>
        <v>0</v>
      </c>
      <c r="AW26" s="55">
        <f t="shared" ref="AW26:AW31" si="19">ROUND(G26*AO26,2)</f>
        <v>0</v>
      </c>
      <c r="AX26" s="55">
        <f t="shared" ref="AX26:AX31" si="20">ROUND(G26*AP26,2)</f>
        <v>0</v>
      </c>
      <c r="AY26" s="54" t="s">
        <v>199</v>
      </c>
      <c r="AZ26" s="54" t="s">
        <v>178</v>
      </c>
      <c r="BA26" s="75" t="s">
        <v>160</v>
      </c>
      <c r="BC26" s="55">
        <f t="shared" ref="BC26:BC31" si="21">AW26+AX26</f>
        <v>0</v>
      </c>
      <c r="BD26" s="55">
        <f t="shared" ref="BD26:BD31" si="22">H26/(100-BE26)*100</f>
        <v>0</v>
      </c>
      <c r="BE26" s="55">
        <v>0</v>
      </c>
      <c r="BF26" s="55">
        <f t="shared" ref="BF26:BF31" si="23">O26</f>
        <v>0.5</v>
      </c>
      <c r="BH26" s="55">
        <f t="shared" ref="BH26:BH31" si="24">G26*AO26</f>
        <v>0</v>
      </c>
      <c r="BI26" s="55">
        <f t="shared" ref="BI26:BI31" si="25">G26*AP26</f>
        <v>0</v>
      </c>
      <c r="BJ26" s="55">
        <f t="shared" ref="BJ26:BJ31" si="26">G26*H26</f>
        <v>0</v>
      </c>
      <c r="BK26" s="54" t="s">
        <v>161</v>
      </c>
      <c r="BL26" s="55">
        <v>725</v>
      </c>
      <c r="BW26" s="55">
        <f t="shared" ref="BW26:BW31" si="27">I26</f>
        <v>21</v>
      </c>
      <c r="BX26" s="16" t="s">
        <v>197</v>
      </c>
    </row>
    <row r="27" spans="1:76" ht="15" customHeight="1" x14ac:dyDescent="0.3">
      <c r="A27" s="94" t="s">
        <v>200</v>
      </c>
      <c r="B27" s="94" t="s">
        <v>103</v>
      </c>
      <c r="C27" s="94" t="s">
        <v>201</v>
      </c>
      <c r="D27" s="199" t="s">
        <v>202</v>
      </c>
      <c r="E27" s="199"/>
      <c r="F27" s="94" t="s">
        <v>198</v>
      </c>
      <c r="G27" s="96">
        <v>5</v>
      </c>
      <c r="H27" s="97"/>
      <c r="I27" s="98">
        <v>21</v>
      </c>
      <c r="J27" s="97">
        <f t="shared" si="0"/>
        <v>0</v>
      </c>
      <c r="K27" s="97">
        <f t="shared" si="1"/>
        <v>0</v>
      </c>
      <c r="L27" s="97">
        <f t="shared" si="2"/>
        <v>0</v>
      </c>
      <c r="M27" s="97">
        <f t="shared" si="3"/>
        <v>0</v>
      </c>
      <c r="N27" s="97">
        <v>3.4200000000000001E-2</v>
      </c>
      <c r="O27" s="96">
        <f t="shared" si="4"/>
        <v>0.17100000000000001</v>
      </c>
      <c r="P27" s="99" t="s">
        <v>156</v>
      </c>
      <c r="Z27" s="55">
        <f t="shared" si="5"/>
        <v>0</v>
      </c>
      <c r="AB27" s="55">
        <f t="shared" si="6"/>
        <v>0</v>
      </c>
      <c r="AC27" s="55">
        <f t="shared" si="7"/>
        <v>0</v>
      </c>
      <c r="AD27" s="55">
        <f t="shared" si="8"/>
        <v>0</v>
      </c>
      <c r="AE27" s="55">
        <f t="shared" si="9"/>
        <v>0</v>
      </c>
      <c r="AF27" s="55">
        <f t="shared" si="10"/>
        <v>0</v>
      </c>
      <c r="AG27" s="55">
        <f t="shared" si="11"/>
        <v>0</v>
      </c>
      <c r="AH27" s="55">
        <f t="shared" si="12"/>
        <v>0</v>
      </c>
      <c r="AI27" s="75" t="s">
        <v>103</v>
      </c>
      <c r="AJ27" s="55">
        <f t="shared" si="13"/>
        <v>0</v>
      </c>
      <c r="AK27" s="55">
        <f t="shared" si="14"/>
        <v>0</v>
      </c>
      <c r="AL27" s="55">
        <f t="shared" si="15"/>
        <v>0</v>
      </c>
      <c r="AN27" s="55">
        <v>21</v>
      </c>
      <c r="AO27" s="55">
        <f t="shared" si="16"/>
        <v>0</v>
      </c>
      <c r="AP27" s="55">
        <f t="shared" si="17"/>
        <v>0</v>
      </c>
      <c r="AQ27" s="54" t="s">
        <v>157</v>
      </c>
      <c r="AV27" s="55">
        <f t="shared" si="18"/>
        <v>0</v>
      </c>
      <c r="AW27" s="55">
        <f t="shared" si="19"/>
        <v>0</v>
      </c>
      <c r="AX27" s="55">
        <f t="shared" si="20"/>
        <v>0</v>
      </c>
      <c r="AY27" s="54" t="s">
        <v>199</v>
      </c>
      <c r="AZ27" s="54" t="s">
        <v>178</v>
      </c>
      <c r="BA27" s="75" t="s">
        <v>160</v>
      </c>
      <c r="BC27" s="55">
        <f t="shared" si="21"/>
        <v>0</v>
      </c>
      <c r="BD27" s="55">
        <f t="shared" si="22"/>
        <v>0</v>
      </c>
      <c r="BE27" s="55">
        <v>0</v>
      </c>
      <c r="BF27" s="55">
        <f t="shared" si="23"/>
        <v>0.17100000000000001</v>
      </c>
      <c r="BH27" s="55">
        <f t="shared" si="24"/>
        <v>0</v>
      </c>
      <c r="BI27" s="55">
        <f t="shared" si="25"/>
        <v>0</v>
      </c>
      <c r="BJ27" s="55">
        <f t="shared" si="26"/>
        <v>0</v>
      </c>
      <c r="BK27" s="54" t="s">
        <v>161</v>
      </c>
      <c r="BL27" s="55">
        <v>725</v>
      </c>
      <c r="BW27" s="55">
        <f t="shared" si="27"/>
        <v>21</v>
      </c>
      <c r="BX27" s="16" t="s">
        <v>202</v>
      </c>
    </row>
    <row r="28" spans="1:76" ht="15" customHeight="1" x14ac:dyDescent="0.3">
      <c r="A28" s="94" t="s">
        <v>203</v>
      </c>
      <c r="B28" s="94" t="s">
        <v>103</v>
      </c>
      <c r="C28" s="94" t="s">
        <v>204</v>
      </c>
      <c r="D28" s="199" t="s">
        <v>205</v>
      </c>
      <c r="E28" s="199"/>
      <c r="F28" s="94" t="s">
        <v>198</v>
      </c>
      <c r="G28" s="96">
        <v>1</v>
      </c>
      <c r="H28" s="97"/>
      <c r="I28" s="98">
        <v>21</v>
      </c>
      <c r="J28" s="97">
        <f t="shared" si="0"/>
        <v>0</v>
      </c>
      <c r="K28" s="97">
        <f t="shared" si="1"/>
        <v>0</v>
      </c>
      <c r="L28" s="97">
        <f t="shared" si="2"/>
        <v>0</v>
      </c>
      <c r="M28" s="97">
        <f t="shared" si="3"/>
        <v>0</v>
      </c>
      <c r="N28" s="97">
        <v>2.4500000000000001E-2</v>
      </c>
      <c r="O28" s="96">
        <f t="shared" si="4"/>
        <v>2.4500000000000001E-2</v>
      </c>
      <c r="P28" s="99" t="s">
        <v>156</v>
      </c>
      <c r="Z28" s="55">
        <f t="shared" si="5"/>
        <v>0</v>
      </c>
      <c r="AB28" s="55">
        <f t="shared" si="6"/>
        <v>0</v>
      </c>
      <c r="AC28" s="55">
        <f t="shared" si="7"/>
        <v>0</v>
      </c>
      <c r="AD28" s="55">
        <f t="shared" si="8"/>
        <v>0</v>
      </c>
      <c r="AE28" s="55">
        <f t="shared" si="9"/>
        <v>0</v>
      </c>
      <c r="AF28" s="55">
        <f t="shared" si="10"/>
        <v>0</v>
      </c>
      <c r="AG28" s="55">
        <f t="shared" si="11"/>
        <v>0</v>
      </c>
      <c r="AH28" s="55">
        <f t="shared" si="12"/>
        <v>0</v>
      </c>
      <c r="AI28" s="75" t="s">
        <v>103</v>
      </c>
      <c r="AJ28" s="55">
        <f t="shared" si="13"/>
        <v>0</v>
      </c>
      <c r="AK28" s="55">
        <f t="shared" si="14"/>
        <v>0</v>
      </c>
      <c r="AL28" s="55">
        <f t="shared" si="15"/>
        <v>0</v>
      </c>
      <c r="AN28" s="55">
        <v>21</v>
      </c>
      <c r="AO28" s="55">
        <f t="shared" si="16"/>
        <v>0</v>
      </c>
      <c r="AP28" s="55">
        <f t="shared" si="17"/>
        <v>0</v>
      </c>
      <c r="AQ28" s="54" t="s">
        <v>157</v>
      </c>
      <c r="AV28" s="55">
        <f t="shared" si="18"/>
        <v>0</v>
      </c>
      <c r="AW28" s="55">
        <f t="shared" si="19"/>
        <v>0</v>
      </c>
      <c r="AX28" s="55">
        <f t="shared" si="20"/>
        <v>0</v>
      </c>
      <c r="AY28" s="54" t="s">
        <v>199</v>
      </c>
      <c r="AZ28" s="54" t="s">
        <v>178</v>
      </c>
      <c r="BA28" s="75" t="s">
        <v>160</v>
      </c>
      <c r="BC28" s="55">
        <f t="shared" si="21"/>
        <v>0</v>
      </c>
      <c r="BD28" s="55">
        <f t="shared" si="22"/>
        <v>0</v>
      </c>
      <c r="BE28" s="55">
        <v>0</v>
      </c>
      <c r="BF28" s="55">
        <f t="shared" si="23"/>
        <v>2.4500000000000001E-2</v>
      </c>
      <c r="BH28" s="55">
        <f t="shared" si="24"/>
        <v>0</v>
      </c>
      <c r="BI28" s="55">
        <f t="shared" si="25"/>
        <v>0</v>
      </c>
      <c r="BJ28" s="55">
        <f t="shared" si="26"/>
        <v>0</v>
      </c>
      <c r="BK28" s="54" t="s">
        <v>161</v>
      </c>
      <c r="BL28" s="55">
        <v>725</v>
      </c>
      <c r="BW28" s="55">
        <f t="shared" si="27"/>
        <v>21</v>
      </c>
      <c r="BX28" s="16" t="s">
        <v>205</v>
      </c>
    </row>
    <row r="29" spans="1:76" ht="15" customHeight="1" x14ac:dyDescent="0.3">
      <c r="A29" s="94" t="s">
        <v>206</v>
      </c>
      <c r="B29" s="94" t="s">
        <v>103</v>
      </c>
      <c r="C29" s="94" t="s">
        <v>207</v>
      </c>
      <c r="D29" s="199" t="s">
        <v>208</v>
      </c>
      <c r="E29" s="199"/>
      <c r="F29" s="94" t="s">
        <v>198</v>
      </c>
      <c r="G29" s="96">
        <v>2</v>
      </c>
      <c r="H29" s="97"/>
      <c r="I29" s="98">
        <v>21</v>
      </c>
      <c r="J29" s="97">
        <f t="shared" si="0"/>
        <v>0</v>
      </c>
      <c r="K29" s="97">
        <f t="shared" si="1"/>
        <v>0</v>
      </c>
      <c r="L29" s="97">
        <f t="shared" si="2"/>
        <v>0</v>
      </c>
      <c r="M29" s="97">
        <f t="shared" si="3"/>
        <v>0</v>
      </c>
      <c r="N29" s="97">
        <v>1.7069999999999998E-2</v>
      </c>
      <c r="O29" s="96">
        <f t="shared" si="4"/>
        <v>3.4139999999999997E-2</v>
      </c>
      <c r="P29" s="99" t="s">
        <v>156</v>
      </c>
      <c r="Z29" s="55">
        <f t="shared" si="5"/>
        <v>0</v>
      </c>
      <c r="AB29" s="55">
        <f t="shared" si="6"/>
        <v>0</v>
      </c>
      <c r="AC29" s="55">
        <f t="shared" si="7"/>
        <v>0</v>
      </c>
      <c r="AD29" s="55">
        <f t="shared" si="8"/>
        <v>0</v>
      </c>
      <c r="AE29" s="55">
        <f t="shared" si="9"/>
        <v>0</v>
      </c>
      <c r="AF29" s="55">
        <f t="shared" si="10"/>
        <v>0</v>
      </c>
      <c r="AG29" s="55">
        <f t="shared" si="11"/>
        <v>0</v>
      </c>
      <c r="AH29" s="55">
        <f t="shared" si="12"/>
        <v>0</v>
      </c>
      <c r="AI29" s="75" t="s">
        <v>103</v>
      </c>
      <c r="AJ29" s="55">
        <f t="shared" si="13"/>
        <v>0</v>
      </c>
      <c r="AK29" s="55">
        <f t="shared" si="14"/>
        <v>0</v>
      </c>
      <c r="AL29" s="55">
        <f t="shared" si="15"/>
        <v>0</v>
      </c>
      <c r="AN29" s="55">
        <v>21</v>
      </c>
      <c r="AO29" s="55">
        <f t="shared" si="16"/>
        <v>0</v>
      </c>
      <c r="AP29" s="55">
        <f t="shared" si="17"/>
        <v>0</v>
      </c>
      <c r="AQ29" s="54" t="s">
        <v>157</v>
      </c>
      <c r="AV29" s="55">
        <f t="shared" si="18"/>
        <v>0</v>
      </c>
      <c r="AW29" s="55">
        <f t="shared" si="19"/>
        <v>0</v>
      </c>
      <c r="AX29" s="55">
        <f t="shared" si="20"/>
        <v>0</v>
      </c>
      <c r="AY29" s="54" t="s">
        <v>199</v>
      </c>
      <c r="AZ29" s="54" t="s">
        <v>178</v>
      </c>
      <c r="BA29" s="75" t="s">
        <v>160</v>
      </c>
      <c r="BC29" s="55">
        <f t="shared" si="21"/>
        <v>0</v>
      </c>
      <c r="BD29" s="55">
        <f t="shared" si="22"/>
        <v>0</v>
      </c>
      <c r="BE29" s="55">
        <v>0</v>
      </c>
      <c r="BF29" s="55">
        <f t="shared" si="23"/>
        <v>3.4139999999999997E-2</v>
      </c>
      <c r="BH29" s="55">
        <f t="shared" si="24"/>
        <v>0</v>
      </c>
      <c r="BI29" s="55">
        <f t="shared" si="25"/>
        <v>0</v>
      </c>
      <c r="BJ29" s="55">
        <f t="shared" si="26"/>
        <v>0</v>
      </c>
      <c r="BK29" s="54" t="s">
        <v>161</v>
      </c>
      <c r="BL29" s="55">
        <v>725</v>
      </c>
      <c r="BW29" s="55">
        <f t="shared" si="27"/>
        <v>21</v>
      </c>
      <c r="BX29" s="16" t="s">
        <v>208</v>
      </c>
    </row>
    <row r="30" spans="1:76" ht="15" customHeight="1" x14ac:dyDescent="0.3">
      <c r="A30" s="94" t="s">
        <v>209</v>
      </c>
      <c r="B30" s="94" t="s">
        <v>103</v>
      </c>
      <c r="C30" s="94" t="s">
        <v>210</v>
      </c>
      <c r="D30" s="199" t="s">
        <v>211</v>
      </c>
      <c r="E30" s="199"/>
      <c r="F30" s="94" t="s">
        <v>212</v>
      </c>
      <c r="G30" s="96">
        <v>5</v>
      </c>
      <c r="H30" s="97"/>
      <c r="I30" s="98">
        <v>21</v>
      </c>
      <c r="J30" s="97">
        <f t="shared" si="0"/>
        <v>0</v>
      </c>
      <c r="K30" s="97">
        <f t="shared" si="1"/>
        <v>0</v>
      </c>
      <c r="L30" s="97">
        <f t="shared" si="2"/>
        <v>0</v>
      </c>
      <c r="M30" s="97">
        <f t="shared" si="3"/>
        <v>0</v>
      </c>
      <c r="N30" s="97">
        <v>3.1870000000000002E-2</v>
      </c>
      <c r="O30" s="96">
        <f t="shared" si="4"/>
        <v>0.15935000000000002</v>
      </c>
      <c r="P30" s="99" t="s">
        <v>156</v>
      </c>
      <c r="Z30" s="55">
        <f t="shared" si="5"/>
        <v>0</v>
      </c>
      <c r="AB30" s="55">
        <f t="shared" si="6"/>
        <v>0</v>
      </c>
      <c r="AC30" s="55">
        <f t="shared" si="7"/>
        <v>0</v>
      </c>
      <c r="AD30" s="55">
        <f t="shared" si="8"/>
        <v>0</v>
      </c>
      <c r="AE30" s="55">
        <f t="shared" si="9"/>
        <v>0</v>
      </c>
      <c r="AF30" s="55">
        <f t="shared" si="10"/>
        <v>0</v>
      </c>
      <c r="AG30" s="55">
        <f t="shared" si="11"/>
        <v>0</v>
      </c>
      <c r="AH30" s="55">
        <f t="shared" si="12"/>
        <v>0</v>
      </c>
      <c r="AI30" s="75" t="s">
        <v>103</v>
      </c>
      <c r="AJ30" s="55">
        <f t="shared" si="13"/>
        <v>0</v>
      </c>
      <c r="AK30" s="55">
        <f t="shared" si="14"/>
        <v>0</v>
      </c>
      <c r="AL30" s="55">
        <f t="shared" si="15"/>
        <v>0</v>
      </c>
      <c r="AN30" s="55">
        <v>21</v>
      </c>
      <c r="AO30" s="55">
        <f t="shared" si="16"/>
        <v>0</v>
      </c>
      <c r="AP30" s="55">
        <f t="shared" si="17"/>
        <v>0</v>
      </c>
      <c r="AQ30" s="54" t="s">
        <v>157</v>
      </c>
      <c r="AV30" s="55">
        <f t="shared" si="18"/>
        <v>0</v>
      </c>
      <c r="AW30" s="55">
        <f t="shared" si="19"/>
        <v>0</v>
      </c>
      <c r="AX30" s="55">
        <f t="shared" si="20"/>
        <v>0</v>
      </c>
      <c r="AY30" s="54" t="s">
        <v>199</v>
      </c>
      <c r="AZ30" s="54" t="s">
        <v>178</v>
      </c>
      <c r="BA30" s="75" t="s">
        <v>160</v>
      </c>
      <c r="BC30" s="55">
        <f t="shared" si="21"/>
        <v>0</v>
      </c>
      <c r="BD30" s="55">
        <f t="shared" si="22"/>
        <v>0</v>
      </c>
      <c r="BE30" s="55">
        <v>0</v>
      </c>
      <c r="BF30" s="55">
        <f t="shared" si="23"/>
        <v>0.15935000000000002</v>
      </c>
      <c r="BH30" s="55">
        <f t="shared" si="24"/>
        <v>0</v>
      </c>
      <c r="BI30" s="55">
        <f t="shared" si="25"/>
        <v>0</v>
      </c>
      <c r="BJ30" s="55">
        <f t="shared" si="26"/>
        <v>0</v>
      </c>
      <c r="BK30" s="54" t="s">
        <v>161</v>
      </c>
      <c r="BL30" s="55">
        <v>725</v>
      </c>
      <c r="BW30" s="55">
        <f t="shared" si="27"/>
        <v>21</v>
      </c>
      <c r="BX30" s="16" t="s">
        <v>211</v>
      </c>
    </row>
    <row r="31" spans="1:76" ht="15" customHeight="1" x14ac:dyDescent="0.3">
      <c r="A31" s="94" t="s">
        <v>213</v>
      </c>
      <c r="B31" s="94" t="s">
        <v>103</v>
      </c>
      <c r="C31" s="94" t="s">
        <v>214</v>
      </c>
      <c r="D31" s="199" t="s">
        <v>215</v>
      </c>
      <c r="E31" s="199"/>
      <c r="F31" s="94" t="s">
        <v>198</v>
      </c>
      <c r="G31" s="96">
        <v>1</v>
      </c>
      <c r="H31" s="97"/>
      <c r="I31" s="98">
        <v>21</v>
      </c>
      <c r="J31" s="97">
        <f t="shared" si="0"/>
        <v>0</v>
      </c>
      <c r="K31" s="97">
        <f t="shared" si="1"/>
        <v>0</v>
      </c>
      <c r="L31" s="97">
        <f t="shared" si="2"/>
        <v>0</v>
      </c>
      <c r="M31" s="97">
        <f t="shared" si="3"/>
        <v>0</v>
      </c>
      <c r="N31" s="97">
        <v>8.7999999999999995E-2</v>
      </c>
      <c r="O31" s="96">
        <f t="shared" si="4"/>
        <v>8.7999999999999995E-2</v>
      </c>
      <c r="P31" s="99" t="s">
        <v>156</v>
      </c>
      <c r="Z31" s="55">
        <f t="shared" si="5"/>
        <v>0</v>
      </c>
      <c r="AB31" s="55">
        <f t="shared" si="6"/>
        <v>0</v>
      </c>
      <c r="AC31" s="55">
        <f t="shared" si="7"/>
        <v>0</v>
      </c>
      <c r="AD31" s="55">
        <f t="shared" si="8"/>
        <v>0</v>
      </c>
      <c r="AE31" s="55">
        <f t="shared" si="9"/>
        <v>0</v>
      </c>
      <c r="AF31" s="55">
        <f t="shared" si="10"/>
        <v>0</v>
      </c>
      <c r="AG31" s="55">
        <f t="shared" si="11"/>
        <v>0</v>
      </c>
      <c r="AH31" s="55">
        <f t="shared" si="12"/>
        <v>0</v>
      </c>
      <c r="AI31" s="75" t="s">
        <v>103</v>
      </c>
      <c r="AJ31" s="55">
        <f t="shared" si="13"/>
        <v>0</v>
      </c>
      <c r="AK31" s="55">
        <f t="shared" si="14"/>
        <v>0</v>
      </c>
      <c r="AL31" s="55">
        <f t="shared" si="15"/>
        <v>0</v>
      </c>
      <c r="AN31" s="55">
        <v>21</v>
      </c>
      <c r="AO31" s="55">
        <f t="shared" si="16"/>
        <v>0</v>
      </c>
      <c r="AP31" s="55">
        <f t="shared" si="17"/>
        <v>0</v>
      </c>
      <c r="AQ31" s="54" t="s">
        <v>157</v>
      </c>
      <c r="AV31" s="55">
        <f t="shared" si="18"/>
        <v>0</v>
      </c>
      <c r="AW31" s="55">
        <f t="shared" si="19"/>
        <v>0</v>
      </c>
      <c r="AX31" s="55">
        <f t="shared" si="20"/>
        <v>0</v>
      </c>
      <c r="AY31" s="54" t="s">
        <v>199</v>
      </c>
      <c r="AZ31" s="54" t="s">
        <v>178</v>
      </c>
      <c r="BA31" s="75" t="s">
        <v>160</v>
      </c>
      <c r="BC31" s="55">
        <f t="shared" si="21"/>
        <v>0</v>
      </c>
      <c r="BD31" s="55">
        <f t="shared" si="22"/>
        <v>0</v>
      </c>
      <c r="BE31" s="55">
        <v>0</v>
      </c>
      <c r="BF31" s="55">
        <f t="shared" si="23"/>
        <v>8.7999999999999995E-2</v>
      </c>
      <c r="BH31" s="55">
        <f t="shared" si="24"/>
        <v>0</v>
      </c>
      <c r="BI31" s="55">
        <f t="shared" si="25"/>
        <v>0</v>
      </c>
      <c r="BJ31" s="55">
        <f t="shared" si="26"/>
        <v>0</v>
      </c>
      <c r="BK31" s="54" t="s">
        <v>161</v>
      </c>
      <c r="BL31" s="55">
        <v>725</v>
      </c>
      <c r="BW31" s="55">
        <f t="shared" si="27"/>
        <v>21</v>
      </c>
      <c r="BX31" s="16" t="s">
        <v>215</v>
      </c>
    </row>
    <row r="32" spans="1:76" ht="15" customHeight="1" x14ac:dyDescent="0.3">
      <c r="A32" s="88"/>
      <c r="B32" s="89" t="s">
        <v>103</v>
      </c>
      <c r="C32" s="89" t="s">
        <v>216</v>
      </c>
      <c r="D32" s="198" t="s">
        <v>217</v>
      </c>
      <c r="E32" s="198"/>
      <c r="F32" s="88" t="s">
        <v>96</v>
      </c>
      <c r="G32" s="90" t="s">
        <v>96</v>
      </c>
      <c r="H32" s="88"/>
      <c r="I32" s="88" t="s">
        <v>96</v>
      </c>
      <c r="J32" s="91">
        <f>SUM(J33:J34)</f>
        <v>0</v>
      </c>
      <c r="K32" s="91">
        <f>SUM(K33:K34)</f>
        <v>0</v>
      </c>
      <c r="L32" s="91">
        <f>SUM(L33:L34)</f>
        <v>0</v>
      </c>
      <c r="M32" s="91">
        <f>SUM(M33:M34)</f>
        <v>0</v>
      </c>
      <c r="N32" s="92"/>
      <c r="O32" s="93">
        <f>SUM(O33:O34)</f>
        <v>0.31490000000000001</v>
      </c>
      <c r="P32" s="92"/>
      <c r="AI32" s="75" t="s">
        <v>103</v>
      </c>
      <c r="AS32" s="68">
        <f>SUM(AJ33:AJ34)</f>
        <v>0</v>
      </c>
      <c r="AT32" s="68">
        <f>SUM(AK33:AK34)</f>
        <v>0</v>
      </c>
      <c r="AU32" s="68">
        <f>SUM(AL33:AL34)</f>
        <v>0</v>
      </c>
    </row>
    <row r="33" spans="1:76" ht="15" customHeight="1" x14ac:dyDescent="0.3">
      <c r="A33" s="94" t="s">
        <v>218</v>
      </c>
      <c r="B33" s="94" t="s">
        <v>103</v>
      </c>
      <c r="C33" s="94" t="s">
        <v>219</v>
      </c>
      <c r="D33" s="199" t="s">
        <v>220</v>
      </c>
      <c r="E33" s="199"/>
      <c r="F33" s="94" t="s">
        <v>176</v>
      </c>
      <c r="G33" s="96">
        <v>85</v>
      </c>
      <c r="H33" s="97"/>
      <c r="I33" s="98">
        <v>21</v>
      </c>
      <c r="J33" s="97">
        <f>ROUND(G33*AO33,2)</f>
        <v>0</v>
      </c>
      <c r="K33" s="97">
        <f>ROUND(G33*AP33,2)</f>
        <v>0</v>
      </c>
      <c r="L33" s="97">
        <f>ROUND(G33*H33,2)</f>
        <v>0</v>
      </c>
      <c r="M33" s="97">
        <f>L33*(1+BW33/100)</f>
        <v>0</v>
      </c>
      <c r="N33" s="97">
        <v>2.5799999999999998E-3</v>
      </c>
      <c r="O33" s="96">
        <f>G33*N33</f>
        <v>0.21929999999999999</v>
      </c>
      <c r="P33" s="99" t="s">
        <v>156</v>
      </c>
      <c r="Z33" s="55">
        <f>ROUND(IF(AQ33="5",BJ33,0),2)</f>
        <v>0</v>
      </c>
      <c r="AB33" s="55">
        <f>ROUND(IF(AQ33="1",BH33,0),2)</f>
        <v>0</v>
      </c>
      <c r="AC33" s="55">
        <f>ROUND(IF(AQ33="1",BI33,0),2)</f>
        <v>0</v>
      </c>
      <c r="AD33" s="55">
        <f>ROUND(IF(AQ33="7",BH33,0),2)</f>
        <v>0</v>
      </c>
      <c r="AE33" s="55">
        <f>ROUND(IF(AQ33="7",BI33,0),2)</f>
        <v>0</v>
      </c>
      <c r="AF33" s="55">
        <f>ROUND(IF(AQ33="2",BH33,0),2)</f>
        <v>0</v>
      </c>
      <c r="AG33" s="55">
        <f>ROUND(IF(AQ33="2",BI33,0),2)</f>
        <v>0</v>
      </c>
      <c r="AH33" s="55">
        <f>ROUND(IF(AQ33="0",BJ33,0),2)</f>
        <v>0</v>
      </c>
      <c r="AI33" s="75" t="s">
        <v>103</v>
      </c>
      <c r="AJ33" s="55">
        <f>IF(AN33=0,L33,0)</f>
        <v>0</v>
      </c>
      <c r="AK33" s="55">
        <f>IF(AN33=12,L33,0)</f>
        <v>0</v>
      </c>
      <c r="AL33" s="55">
        <f>IF(AN33=21,L33,0)</f>
        <v>0</v>
      </c>
      <c r="AN33" s="55">
        <v>21</v>
      </c>
      <c r="AO33" s="55">
        <f>H33*0.199520312</f>
        <v>0</v>
      </c>
      <c r="AP33" s="55">
        <f>H33*(1-0.199520312)</f>
        <v>0</v>
      </c>
      <c r="AQ33" s="54" t="s">
        <v>157</v>
      </c>
      <c r="AV33" s="55">
        <f>ROUND(AW33+AX33,2)</f>
        <v>0</v>
      </c>
      <c r="AW33" s="55">
        <f>ROUND(G33*AO33,2)</f>
        <v>0</v>
      </c>
      <c r="AX33" s="55">
        <f>ROUND(G33*AP33,2)</f>
        <v>0</v>
      </c>
      <c r="AY33" s="54" t="s">
        <v>221</v>
      </c>
      <c r="AZ33" s="54" t="s">
        <v>222</v>
      </c>
      <c r="BA33" s="75" t="s">
        <v>160</v>
      </c>
      <c r="BC33" s="55">
        <f>AW33+AX33</f>
        <v>0</v>
      </c>
      <c r="BD33" s="55">
        <f>H33/(100-BE33)*100</f>
        <v>0</v>
      </c>
      <c r="BE33" s="55">
        <v>0</v>
      </c>
      <c r="BF33" s="55">
        <f>O33</f>
        <v>0.21929999999999999</v>
      </c>
      <c r="BH33" s="55">
        <f>G33*AO33</f>
        <v>0</v>
      </c>
      <c r="BI33" s="55">
        <f>G33*AP33</f>
        <v>0</v>
      </c>
      <c r="BJ33" s="55">
        <f>G33*H33</f>
        <v>0</v>
      </c>
      <c r="BK33" s="54" t="s">
        <v>161</v>
      </c>
      <c r="BL33" s="55">
        <v>733</v>
      </c>
      <c r="BW33" s="55">
        <f>I33</f>
        <v>21</v>
      </c>
      <c r="BX33" s="16" t="s">
        <v>220</v>
      </c>
    </row>
    <row r="34" spans="1:76" ht="15" customHeight="1" x14ac:dyDescent="0.3">
      <c r="A34" s="94" t="s">
        <v>223</v>
      </c>
      <c r="B34" s="94" t="s">
        <v>103</v>
      </c>
      <c r="C34" s="94" t="s">
        <v>224</v>
      </c>
      <c r="D34" s="199" t="s">
        <v>225</v>
      </c>
      <c r="E34" s="199"/>
      <c r="F34" s="94" t="s">
        <v>176</v>
      </c>
      <c r="G34" s="96">
        <v>20</v>
      </c>
      <c r="H34" s="97"/>
      <c r="I34" s="98">
        <v>21</v>
      </c>
      <c r="J34" s="97">
        <f>ROUND(G34*AO34,2)</f>
        <v>0</v>
      </c>
      <c r="K34" s="97">
        <f>ROUND(G34*AP34,2)</f>
        <v>0</v>
      </c>
      <c r="L34" s="97">
        <f>ROUND(G34*H34,2)</f>
        <v>0</v>
      </c>
      <c r="M34" s="97">
        <f>L34*(1+BW34/100)</f>
        <v>0</v>
      </c>
      <c r="N34" s="97">
        <v>4.7800000000000004E-3</v>
      </c>
      <c r="O34" s="96">
        <f>G34*N34</f>
        <v>9.5600000000000004E-2</v>
      </c>
      <c r="P34" s="99" t="s">
        <v>156</v>
      </c>
      <c r="Z34" s="55">
        <f>ROUND(IF(AQ34="5",BJ34,0),2)</f>
        <v>0</v>
      </c>
      <c r="AB34" s="55">
        <f>ROUND(IF(AQ34="1",BH34,0),2)</f>
        <v>0</v>
      </c>
      <c r="AC34" s="55">
        <f>ROUND(IF(AQ34="1",BI34,0),2)</f>
        <v>0</v>
      </c>
      <c r="AD34" s="55">
        <f>ROUND(IF(AQ34="7",BH34,0),2)</f>
        <v>0</v>
      </c>
      <c r="AE34" s="55">
        <f>ROUND(IF(AQ34="7",BI34,0),2)</f>
        <v>0</v>
      </c>
      <c r="AF34" s="55">
        <f>ROUND(IF(AQ34="2",BH34,0),2)</f>
        <v>0</v>
      </c>
      <c r="AG34" s="55">
        <f>ROUND(IF(AQ34="2",BI34,0),2)</f>
        <v>0</v>
      </c>
      <c r="AH34" s="55">
        <f>ROUND(IF(AQ34="0",BJ34,0),2)</f>
        <v>0</v>
      </c>
      <c r="AI34" s="75" t="s">
        <v>103</v>
      </c>
      <c r="AJ34" s="55">
        <f>IF(AN34=0,L34,0)</f>
        <v>0</v>
      </c>
      <c r="AK34" s="55">
        <f>IF(AN34=12,L34,0)</f>
        <v>0</v>
      </c>
      <c r="AL34" s="55">
        <f>IF(AN34=21,L34,0)</f>
        <v>0</v>
      </c>
      <c r="AN34" s="55">
        <v>21</v>
      </c>
      <c r="AO34" s="55">
        <f>H34*0.161482255</f>
        <v>0</v>
      </c>
      <c r="AP34" s="55">
        <f>H34*(1-0.161482255)</f>
        <v>0</v>
      </c>
      <c r="AQ34" s="54" t="s">
        <v>157</v>
      </c>
      <c r="AV34" s="55">
        <f>ROUND(AW34+AX34,2)</f>
        <v>0</v>
      </c>
      <c r="AW34" s="55">
        <f>ROUND(G34*AO34,2)</f>
        <v>0</v>
      </c>
      <c r="AX34" s="55">
        <f>ROUND(G34*AP34,2)</f>
        <v>0</v>
      </c>
      <c r="AY34" s="54" t="s">
        <v>221</v>
      </c>
      <c r="AZ34" s="54" t="s">
        <v>222</v>
      </c>
      <c r="BA34" s="75" t="s">
        <v>160</v>
      </c>
      <c r="BC34" s="55">
        <f>AW34+AX34</f>
        <v>0</v>
      </c>
      <c r="BD34" s="55">
        <f>H34/(100-BE34)*100</f>
        <v>0</v>
      </c>
      <c r="BE34" s="55">
        <v>0</v>
      </c>
      <c r="BF34" s="55">
        <f>O34</f>
        <v>9.5600000000000004E-2</v>
      </c>
      <c r="BH34" s="55">
        <f>G34*AO34</f>
        <v>0</v>
      </c>
      <c r="BI34" s="55">
        <f>G34*AP34</f>
        <v>0</v>
      </c>
      <c r="BJ34" s="55">
        <f>G34*H34</f>
        <v>0</v>
      </c>
      <c r="BK34" s="54" t="s">
        <v>161</v>
      </c>
      <c r="BL34" s="55">
        <v>733</v>
      </c>
      <c r="BW34" s="55">
        <f>I34</f>
        <v>21</v>
      </c>
      <c r="BX34" s="16" t="s">
        <v>225</v>
      </c>
    </row>
    <row r="35" spans="1:76" ht="15" customHeight="1" x14ac:dyDescent="0.3">
      <c r="A35" s="88"/>
      <c r="B35" s="89" t="s">
        <v>103</v>
      </c>
      <c r="C35" s="89" t="s">
        <v>226</v>
      </c>
      <c r="D35" s="198" t="s">
        <v>227</v>
      </c>
      <c r="E35" s="198"/>
      <c r="F35" s="88" t="s">
        <v>96</v>
      </c>
      <c r="G35" s="90" t="s">
        <v>96</v>
      </c>
      <c r="H35" s="88"/>
      <c r="I35" s="88" t="s">
        <v>96</v>
      </c>
      <c r="J35" s="91">
        <f>SUM(J36)</f>
        <v>0</v>
      </c>
      <c r="K35" s="91">
        <f>SUM(K36)</f>
        <v>0</v>
      </c>
      <c r="L35" s="91">
        <f>SUM(L36)</f>
        <v>0</v>
      </c>
      <c r="M35" s="91">
        <f>SUM(M36)</f>
        <v>0</v>
      </c>
      <c r="N35" s="92"/>
      <c r="O35" s="93">
        <f>SUM(O36)</f>
        <v>0.4284</v>
      </c>
      <c r="P35" s="92"/>
      <c r="AI35" s="75" t="s">
        <v>103</v>
      </c>
      <c r="AS35" s="68">
        <f>SUM(AJ36)</f>
        <v>0</v>
      </c>
      <c r="AT35" s="68">
        <f>SUM(AK36)</f>
        <v>0</v>
      </c>
      <c r="AU35" s="68">
        <f>SUM(AL36)</f>
        <v>0</v>
      </c>
    </row>
    <row r="36" spans="1:76" ht="15" customHeight="1" x14ac:dyDescent="0.3">
      <c r="A36" s="94" t="s">
        <v>228</v>
      </c>
      <c r="B36" s="94" t="s">
        <v>103</v>
      </c>
      <c r="C36" s="94" t="s">
        <v>229</v>
      </c>
      <c r="D36" s="199" t="s">
        <v>230</v>
      </c>
      <c r="E36" s="199"/>
      <c r="F36" s="94" t="s">
        <v>155</v>
      </c>
      <c r="G36" s="96">
        <v>18</v>
      </c>
      <c r="H36" s="97"/>
      <c r="I36" s="98">
        <v>21</v>
      </c>
      <c r="J36" s="97">
        <f>ROUND(G36*AO36,2)</f>
        <v>0</v>
      </c>
      <c r="K36" s="97">
        <f>ROUND(G36*AP36,2)</f>
        <v>0</v>
      </c>
      <c r="L36" s="97">
        <f>ROUND(G36*H36,2)</f>
        <v>0</v>
      </c>
      <c r="M36" s="97">
        <f>L36*(1+BW36/100)</f>
        <v>0</v>
      </c>
      <c r="N36" s="97">
        <v>2.3800000000000002E-2</v>
      </c>
      <c r="O36" s="96">
        <f>G36*N36</f>
        <v>0.4284</v>
      </c>
      <c r="P36" s="99" t="s">
        <v>156</v>
      </c>
      <c r="Z36" s="55">
        <f>ROUND(IF(AQ36="5",BJ36,0),2)</f>
        <v>0</v>
      </c>
      <c r="AB36" s="55">
        <f>ROUND(IF(AQ36="1",BH36,0),2)</f>
        <v>0</v>
      </c>
      <c r="AC36" s="55">
        <f>ROUND(IF(AQ36="1",BI36,0),2)</f>
        <v>0</v>
      </c>
      <c r="AD36" s="55">
        <f>ROUND(IF(AQ36="7",BH36,0),2)</f>
        <v>0</v>
      </c>
      <c r="AE36" s="55">
        <f>ROUND(IF(AQ36="7",BI36,0),2)</f>
        <v>0</v>
      </c>
      <c r="AF36" s="55">
        <f>ROUND(IF(AQ36="2",BH36,0),2)</f>
        <v>0</v>
      </c>
      <c r="AG36" s="55">
        <f>ROUND(IF(AQ36="2",BI36,0),2)</f>
        <v>0</v>
      </c>
      <c r="AH36" s="55">
        <f>ROUND(IF(AQ36="0",BJ36,0),2)</f>
        <v>0</v>
      </c>
      <c r="AI36" s="75" t="s">
        <v>103</v>
      </c>
      <c r="AJ36" s="55">
        <f>IF(AN36=0,L36,0)</f>
        <v>0</v>
      </c>
      <c r="AK36" s="55">
        <f>IF(AN36=12,L36,0)</f>
        <v>0</v>
      </c>
      <c r="AL36" s="55">
        <f>IF(AN36=21,L36,0)</f>
        <v>0</v>
      </c>
      <c r="AN36" s="55">
        <v>21</v>
      </c>
      <c r="AO36" s="55">
        <f>H36*0</f>
        <v>0</v>
      </c>
      <c r="AP36" s="55">
        <f>H36*(1-0)</f>
        <v>0</v>
      </c>
      <c r="AQ36" s="54" t="s">
        <v>157</v>
      </c>
      <c r="AV36" s="55">
        <f>ROUND(AW36+AX36,2)</f>
        <v>0</v>
      </c>
      <c r="AW36" s="55">
        <f>ROUND(G36*AO36,2)</f>
        <v>0</v>
      </c>
      <c r="AX36" s="55">
        <f>ROUND(G36*AP36,2)</f>
        <v>0</v>
      </c>
      <c r="AY36" s="54" t="s">
        <v>231</v>
      </c>
      <c r="AZ36" s="54" t="s">
        <v>222</v>
      </c>
      <c r="BA36" s="75" t="s">
        <v>160</v>
      </c>
      <c r="BC36" s="55">
        <f>AW36+AX36</f>
        <v>0</v>
      </c>
      <c r="BD36" s="55">
        <f>H36/(100-BE36)*100</f>
        <v>0</v>
      </c>
      <c r="BE36" s="55">
        <v>0</v>
      </c>
      <c r="BF36" s="55">
        <f>O36</f>
        <v>0.4284</v>
      </c>
      <c r="BH36" s="55">
        <f>G36*AO36</f>
        <v>0</v>
      </c>
      <c r="BI36" s="55">
        <f>G36*AP36</f>
        <v>0</v>
      </c>
      <c r="BJ36" s="55">
        <f>G36*H36</f>
        <v>0</v>
      </c>
      <c r="BK36" s="54" t="s">
        <v>161</v>
      </c>
      <c r="BL36" s="55">
        <v>735</v>
      </c>
      <c r="BW36" s="55">
        <f>I36</f>
        <v>21</v>
      </c>
      <c r="BX36" s="16" t="s">
        <v>230</v>
      </c>
    </row>
    <row r="37" spans="1:76" ht="15" customHeight="1" x14ac:dyDescent="0.3">
      <c r="A37" s="88"/>
      <c r="B37" s="89" t="s">
        <v>103</v>
      </c>
      <c r="C37" s="89" t="s">
        <v>232</v>
      </c>
      <c r="D37" s="198" t="s">
        <v>233</v>
      </c>
      <c r="E37" s="198"/>
      <c r="F37" s="88" t="s">
        <v>96</v>
      </c>
      <c r="G37" s="90" t="s">
        <v>96</v>
      </c>
      <c r="H37" s="88"/>
      <c r="I37" s="88" t="s">
        <v>96</v>
      </c>
      <c r="J37" s="91">
        <f>SUM(J38:J39)</f>
        <v>0</v>
      </c>
      <c r="K37" s="91">
        <f>SUM(K38:K39)</f>
        <v>0</v>
      </c>
      <c r="L37" s="91">
        <f>SUM(L38:L39)</f>
        <v>0</v>
      </c>
      <c r="M37" s="91">
        <f>SUM(M38:M39)</f>
        <v>0</v>
      </c>
      <c r="N37" s="92"/>
      <c r="O37" s="93">
        <f>SUM(O38:O39)</f>
        <v>2.8337281600000002</v>
      </c>
      <c r="P37" s="92"/>
      <c r="AI37" s="75" t="s">
        <v>103</v>
      </c>
      <c r="AS37" s="68">
        <f>SUM(AJ38:AJ39)</f>
        <v>0</v>
      </c>
      <c r="AT37" s="68">
        <f>SUM(AK38:AK39)</f>
        <v>0</v>
      </c>
      <c r="AU37" s="68">
        <f>SUM(AL38:AL39)</f>
        <v>0</v>
      </c>
    </row>
    <row r="38" spans="1:76" ht="23.85" customHeight="1" x14ac:dyDescent="0.3">
      <c r="A38" s="94" t="s">
        <v>234</v>
      </c>
      <c r="B38" s="94" t="s">
        <v>103</v>
      </c>
      <c r="C38" s="94" t="s">
        <v>235</v>
      </c>
      <c r="D38" s="199" t="s">
        <v>236</v>
      </c>
      <c r="E38" s="199"/>
      <c r="F38" s="94" t="s">
        <v>155</v>
      </c>
      <c r="G38" s="96">
        <v>47.04</v>
      </c>
      <c r="H38" s="97"/>
      <c r="I38" s="98">
        <v>21</v>
      </c>
      <c r="J38" s="97">
        <f>ROUND(G38*AO38,2)</f>
        <v>0</v>
      </c>
      <c r="K38" s="97">
        <f>ROUND(G38*AP38,2)</f>
        <v>0</v>
      </c>
      <c r="L38" s="97">
        <f>ROUND(G38*H38,2)</f>
        <v>0</v>
      </c>
      <c r="M38" s="97">
        <f>L38*(1+BW38/100)</f>
        <v>0</v>
      </c>
      <c r="N38" s="97">
        <v>5.5480000000000002E-2</v>
      </c>
      <c r="O38" s="96">
        <f>G38*N38</f>
        <v>2.6097792000000002</v>
      </c>
      <c r="P38" s="99" t="s">
        <v>156</v>
      </c>
      <c r="Z38" s="55">
        <f>ROUND(IF(AQ38="5",BJ38,0),2)</f>
        <v>0</v>
      </c>
      <c r="AB38" s="55">
        <f>ROUND(IF(AQ38="1",BH38,0),2)</f>
        <v>0</v>
      </c>
      <c r="AC38" s="55">
        <f>ROUND(IF(AQ38="1",BI38,0),2)</f>
        <v>0</v>
      </c>
      <c r="AD38" s="55">
        <f>ROUND(IF(AQ38="7",BH38,0),2)</f>
        <v>0</v>
      </c>
      <c r="AE38" s="55">
        <f>ROUND(IF(AQ38="7",BI38,0),2)</f>
        <v>0</v>
      </c>
      <c r="AF38" s="55">
        <f>ROUND(IF(AQ38="2",BH38,0),2)</f>
        <v>0</v>
      </c>
      <c r="AG38" s="55">
        <f>ROUND(IF(AQ38="2",BI38,0),2)</f>
        <v>0</v>
      </c>
      <c r="AH38" s="55">
        <f>ROUND(IF(AQ38="0",BJ38,0),2)</f>
        <v>0</v>
      </c>
      <c r="AI38" s="75" t="s">
        <v>103</v>
      </c>
      <c r="AJ38" s="55">
        <f>IF(AN38=0,L38,0)</f>
        <v>0</v>
      </c>
      <c r="AK38" s="55">
        <f>IF(AN38=12,L38,0)</f>
        <v>0</v>
      </c>
      <c r="AL38" s="55">
        <f>IF(AN38=21,L38,0)</f>
        <v>0</v>
      </c>
      <c r="AN38" s="55">
        <v>21</v>
      </c>
      <c r="AO38" s="55">
        <f>H38*0.040961717</f>
        <v>0</v>
      </c>
      <c r="AP38" s="55">
        <f>H38*(1-0.040961717)</f>
        <v>0</v>
      </c>
      <c r="AQ38" s="54" t="s">
        <v>157</v>
      </c>
      <c r="AV38" s="55">
        <f>ROUND(AW38+AX38,2)</f>
        <v>0</v>
      </c>
      <c r="AW38" s="55">
        <f>ROUND(G38*AO38,2)</f>
        <v>0</v>
      </c>
      <c r="AX38" s="55">
        <f>ROUND(G38*AP38,2)</f>
        <v>0</v>
      </c>
      <c r="AY38" s="54" t="s">
        <v>237</v>
      </c>
      <c r="AZ38" s="54" t="s">
        <v>238</v>
      </c>
      <c r="BA38" s="75" t="s">
        <v>160</v>
      </c>
      <c r="BC38" s="55">
        <f>AW38+AX38</f>
        <v>0</v>
      </c>
      <c r="BD38" s="55">
        <f>H38/(100-BE38)*100</f>
        <v>0</v>
      </c>
      <c r="BE38" s="55">
        <v>0</v>
      </c>
      <c r="BF38" s="55">
        <f>O38</f>
        <v>2.6097792000000002</v>
      </c>
      <c r="BH38" s="55">
        <f>G38*AO38</f>
        <v>0</v>
      </c>
      <c r="BI38" s="55">
        <f>G38*AP38</f>
        <v>0</v>
      </c>
      <c r="BJ38" s="55">
        <f>G38*H38</f>
        <v>0</v>
      </c>
      <c r="BK38" s="54" t="s">
        <v>161</v>
      </c>
      <c r="BL38" s="55">
        <v>762</v>
      </c>
      <c r="BW38" s="55">
        <f>I38</f>
        <v>21</v>
      </c>
      <c r="BX38" s="16" t="s">
        <v>236</v>
      </c>
    </row>
    <row r="39" spans="1:76" ht="15" customHeight="1" x14ac:dyDescent="0.3">
      <c r="A39" s="94" t="s">
        <v>239</v>
      </c>
      <c r="B39" s="94" t="s">
        <v>103</v>
      </c>
      <c r="C39" s="94" t="s">
        <v>240</v>
      </c>
      <c r="D39" s="199" t="s">
        <v>241</v>
      </c>
      <c r="E39" s="199"/>
      <c r="F39" s="94" t="s">
        <v>155</v>
      </c>
      <c r="G39" s="96">
        <v>10.106</v>
      </c>
      <c r="H39" s="97"/>
      <c r="I39" s="98">
        <v>21</v>
      </c>
      <c r="J39" s="97">
        <f>ROUND(G39*AO39,2)</f>
        <v>0</v>
      </c>
      <c r="K39" s="97">
        <f>ROUND(G39*AP39,2)</f>
        <v>0</v>
      </c>
      <c r="L39" s="97">
        <f>ROUND(G39*H39,2)</f>
        <v>0</v>
      </c>
      <c r="M39" s="97">
        <f>L39*(1+BW39/100)</f>
        <v>0</v>
      </c>
      <c r="N39" s="97">
        <v>2.2159999999999999E-2</v>
      </c>
      <c r="O39" s="96">
        <f>G39*N39</f>
        <v>0.22394895999999997</v>
      </c>
      <c r="P39" s="99" t="s">
        <v>156</v>
      </c>
      <c r="Z39" s="55">
        <f>ROUND(IF(AQ39="5",BJ39,0),2)</f>
        <v>0</v>
      </c>
      <c r="AB39" s="55">
        <f>ROUND(IF(AQ39="1",BH39,0),2)</f>
        <v>0</v>
      </c>
      <c r="AC39" s="55">
        <f>ROUND(IF(AQ39="1",BI39,0),2)</f>
        <v>0</v>
      </c>
      <c r="AD39" s="55">
        <f>ROUND(IF(AQ39="7",BH39,0),2)</f>
        <v>0</v>
      </c>
      <c r="AE39" s="55">
        <f>ROUND(IF(AQ39="7",BI39,0),2)</f>
        <v>0</v>
      </c>
      <c r="AF39" s="55">
        <f>ROUND(IF(AQ39="2",BH39,0),2)</f>
        <v>0</v>
      </c>
      <c r="AG39" s="55">
        <f>ROUND(IF(AQ39="2",BI39,0),2)</f>
        <v>0</v>
      </c>
      <c r="AH39" s="55">
        <f>ROUND(IF(AQ39="0",BJ39,0),2)</f>
        <v>0</v>
      </c>
      <c r="AI39" s="75" t="s">
        <v>103</v>
      </c>
      <c r="AJ39" s="55">
        <f>IF(AN39=0,L39,0)</f>
        <v>0</v>
      </c>
      <c r="AK39" s="55">
        <f>IF(AN39=12,L39,0)</f>
        <v>0</v>
      </c>
      <c r="AL39" s="55">
        <f>IF(AN39=21,L39,0)</f>
        <v>0</v>
      </c>
      <c r="AN39" s="55">
        <v>21</v>
      </c>
      <c r="AO39" s="55">
        <f>H39*0.068782378</f>
        <v>0</v>
      </c>
      <c r="AP39" s="55">
        <f>H39*(1-0.068782378)</f>
        <v>0</v>
      </c>
      <c r="AQ39" s="54" t="s">
        <v>157</v>
      </c>
      <c r="AV39" s="55">
        <f>ROUND(AW39+AX39,2)</f>
        <v>0</v>
      </c>
      <c r="AW39" s="55">
        <f>ROUND(G39*AO39,2)</f>
        <v>0</v>
      </c>
      <c r="AX39" s="55">
        <f>ROUND(G39*AP39,2)</f>
        <v>0</v>
      </c>
      <c r="AY39" s="54" t="s">
        <v>237</v>
      </c>
      <c r="AZ39" s="54" t="s">
        <v>238</v>
      </c>
      <c r="BA39" s="75" t="s">
        <v>160</v>
      </c>
      <c r="BC39" s="55">
        <f>AW39+AX39</f>
        <v>0</v>
      </c>
      <c r="BD39" s="55">
        <f>H39/(100-BE39)*100</f>
        <v>0</v>
      </c>
      <c r="BE39" s="55">
        <v>0</v>
      </c>
      <c r="BF39" s="55">
        <f>O39</f>
        <v>0.22394895999999997</v>
      </c>
      <c r="BH39" s="55">
        <f>G39*AO39</f>
        <v>0</v>
      </c>
      <c r="BI39" s="55">
        <f>G39*AP39</f>
        <v>0</v>
      </c>
      <c r="BJ39" s="55">
        <f>G39*H39</f>
        <v>0</v>
      </c>
      <c r="BK39" s="54" t="s">
        <v>161</v>
      </c>
      <c r="BL39" s="55">
        <v>762</v>
      </c>
      <c r="BW39" s="55">
        <f>I39</f>
        <v>21</v>
      </c>
      <c r="BX39" s="16" t="s">
        <v>241</v>
      </c>
    </row>
    <row r="40" spans="1:76" ht="15" customHeight="1" x14ac:dyDescent="0.3">
      <c r="A40" s="88"/>
      <c r="B40" s="89" t="s">
        <v>103</v>
      </c>
      <c r="C40" s="89" t="s">
        <v>242</v>
      </c>
      <c r="D40" s="198" t="s">
        <v>243</v>
      </c>
      <c r="E40" s="198"/>
      <c r="F40" s="88" t="s">
        <v>96</v>
      </c>
      <c r="G40" s="90" t="s">
        <v>96</v>
      </c>
      <c r="H40" s="88"/>
      <c r="I40" s="88" t="s">
        <v>96</v>
      </c>
      <c r="J40" s="91">
        <f>SUM(J41)</f>
        <v>0</v>
      </c>
      <c r="K40" s="91">
        <f>SUM(K41)</f>
        <v>0</v>
      </c>
      <c r="L40" s="91">
        <f>SUM(L41)</f>
        <v>0</v>
      </c>
      <c r="M40" s="91">
        <f>SUM(M41)</f>
        <v>0</v>
      </c>
      <c r="N40" s="92"/>
      <c r="O40" s="93">
        <f>SUM(O41)</f>
        <v>0.21896399999999999</v>
      </c>
      <c r="P40" s="92"/>
      <c r="AI40" s="75" t="s">
        <v>103</v>
      </c>
      <c r="AS40" s="68">
        <f>SUM(AJ41)</f>
        <v>0</v>
      </c>
      <c r="AT40" s="68">
        <f>SUM(AK41)</f>
        <v>0</v>
      </c>
      <c r="AU40" s="68">
        <f>SUM(AL41)</f>
        <v>0</v>
      </c>
    </row>
    <row r="41" spans="1:76" ht="15" customHeight="1" x14ac:dyDescent="0.3">
      <c r="A41" s="94" t="s">
        <v>244</v>
      </c>
      <c r="B41" s="94" t="s">
        <v>103</v>
      </c>
      <c r="C41" s="94" t="s">
        <v>245</v>
      </c>
      <c r="D41" s="199" t="s">
        <v>246</v>
      </c>
      <c r="E41" s="199"/>
      <c r="F41" s="94" t="s">
        <v>176</v>
      </c>
      <c r="G41" s="96">
        <v>51.4</v>
      </c>
      <c r="H41" s="97"/>
      <c r="I41" s="98">
        <v>21</v>
      </c>
      <c r="J41" s="97">
        <f>ROUND(G41*AO41,2)</f>
        <v>0</v>
      </c>
      <c r="K41" s="97">
        <f>ROUND(G41*AP41,2)</f>
        <v>0</v>
      </c>
      <c r="L41" s="97">
        <f>ROUND(G41*H41,2)</f>
        <v>0</v>
      </c>
      <c r="M41" s="97">
        <f>L41*(1+BW41/100)</f>
        <v>0</v>
      </c>
      <c r="N41" s="97">
        <v>4.2599999999999999E-3</v>
      </c>
      <c r="O41" s="96">
        <f>G41*N41</f>
        <v>0.21896399999999999</v>
      </c>
      <c r="P41" s="99" t="s">
        <v>156</v>
      </c>
      <c r="Z41" s="55">
        <f>ROUND(IF(AQ41="5",BJ41,0),2)</f>
        <v>0</v>
      </c>
      <c r="AB41" s="55">
        <f>ROUND(IF(AQ41="1",BH41,0),2)</f>
        <v>0</v>
      </c>
      <c r="AC41" s="55">
        <f>ROUND(IF(AQ41="1",BI41,0),2)</f>
        <v>0</v>
      </c>
      <c r="AD41" s="55">
        <f>ROUND(IF(AQ41="7",BH41,0),2)</f>
        <v>0</v>
      </c>
      <c r="AE41" s="55">
        <f>ROUND(IF(AQ41="7",BI41,0),2)</f>
        <v>0</v>
      </c>
      <c r="AF41" s="55">
        <f>ROUND(IF(AQ41="2",BH41,0),2)</f>
        <v>0</v>
      </c>
      <c r="AG41" s="55">
        <f>ROUND(IF(AQ41="2",BI41,0),2)</f>
        <v>0</v>
      </c>
      <c r="AH41" s="55">
        <f>ROUND(IF(AQ41="0",BJ41,0),2)</f>
        <v>0</v>
      </c>
      <c r="AI41" s="75" t="s">
        <v>103</v>
      </c>
      <c r="AJ41" s="55">
        <f>IF(AN41=0,L41,0)</f>
        <v>0</v>
      </c>
      <c r="AK41" s="55">
        <f>IF(AN41=12,L41,0)</f>
        <v>0</v>
      </c>
      <c r="AL41" s="55">
        <f>IF(AN41=21,L41,0)</f>
        <v>0</v>
      </c>
      <c r="AN41" s="55">
        <v>21</v>
      </c>
      <c r="AO41" s="55">
        <f>H41*0</f>
        <v>0</v>
      </c>
      <c r="AP41" s="55">
        <f>H41*(1-0)</f>
        <v>0</v>
      </c>
      <c r="AQ41" s="54" t="s">
        <v>157</v>
      </c>
      <c r="AV41" s="55">
        <f>ROUND(AW41+AX41,2)</f>
        <v>0</v>
      </c>
      <c r="AW41" s="55">
        <f>ROUND(G41*AO41,2)</f>
        <v>0</v>
      </c>
      <c r="AX41" s="55">
        <f>ROUND(G41*AP41,2)</f>
        <v>0</v>
      </c>
      <c r="AY41" s="54" t="s">
        <v>247</v>
      </c>
      <c r="AZ41" s="54" t="s">
        <v>238</v>
      </c>
      <c r="BA41" s="75" t="s">
        <v>160</v>
      </c>
      <c r="BC41" s="55">
        <f>AW41+AX41</f>
        <v>0</v>
      </c>
      <c r="BD41" s="55">
        <f>H41/(100-BE41)*100</f>
        <v>0</v>
      </c>
      <c r="BE41" s="55">
        <v>0</v>
      </c>
      <c r="BF41" s="55">
        <f>O41</f>
        <v>0.21896399999999999</v>
      </c>
      <c r="BH41" s="55">
        <f>G41*AO41</f>
        <v>0</v>
      </c>
      <c r="BI41" s="55">
        <f>G41*AP41</f>
        <v>0</v>
      </c>
      <c r="BJ41" s="55">
        <f>G41*H41</f>
        <v>0</v>
      </c>
      <c r="BK41" s="54" t="s">
        <v>161</v>
      </c>
      <c r="BL41" s="55">
        <v>764</v>
      </c>
      <c r="BW41" s="55">
        <f>I41</f>
        <v>21</v>
      </c>
      <c r="BX41" s="16" t="s">
        <v>246</v>
      </c>
    </row>
    <row r="42" spans="1:76" ht="15" customHeight="1" x14ac:dyDescent="0.3">
      <c r="A42" s="88"/>
      <c r="B42" s="89" t="s">
        <v>103</v>
      </c>
      <c r="C42" s="89" t="s">
        <v>248</v>
      </c>
      <c r="D42" s="198" t="s">
        <v>249</v>
      </c>
      <c r="E42" s="198"/>
      <c r="F42" s="88" t="s">
        <v>96</v>
      </c>
      <c r="G42" s="90" t="s">
        <v>96</v>
      </c>
      <c r="H42" s="88"/>
      <c r="I42" s="88" t="s">
        <v>96</v>
      </c>
      <c r="J42" s="91">
        <f>SUM(J43:J47)</f>
        <v>0</v>
      </c>
      <c r="K42" s="91">
        <f>SUM(K43:K47)</f>
        <v>0</v>
      </c>
      <c r="L42" s="91">
        <f>SUM(L43:L47)</f>
        <v>0</v>
      </c>
      <c r="M42" s="91">
        <f>SUM(M43:M47)</f>
        <v>0</v>
      </c>
      <c r="N42" s="92"/>
      <c r="O42" s="93">
        <f>SUM(O43:O47)</f>
        <v>2.2927249999999999</v>
      </c>
      <c r="P42" s="92"/>
      <c r="AI42" s="75" t="s">
        <v>103</v>
      </c>
      <c r="AS42" s="68">
        <f>SUM(AJ43:AJ47)</f>
        <v>0</v>
      </c>
      <c r="AT42" s="68">
        <f>SUM(AK43:AK47)</f>
        <v>0</v>
      </c>
      <c r="AU42" s="68">
        <f>SUM(AL43:AL47)</f>
        <v>0</v>
      </c>
    </row>
    <row r="43" spans="1:76" ht="15" customHeight="1" x14ac:dyDescent="0.3">
      <c r="A43" s="94" t="s">
        <v>250</v>
      </c>
      <c r="B43" s="94" t="s">
        <v>103</v>
      </c>
      <c r="C43" s="94" t="s">
        <v>251</v>
      </c>
      <c r="D43" s="199" t="s">
        <v>252</v>
      </c>
      <c r="E43" s="199"/>
      <c r="F43" s="94" t="s">
        <v>155</v>
      </c>
      <c r="G43" s="96">
        <v>16.5</v>
      </c>
      <c r="H43" s="97"/>
      <c r="I43" s="98">
        <v>21</v>
      </c>
      <c r="J43" s="97">
        <f>ROUND(G43*AO43,2)</f>
        <v>0</v>
      </c>
      <c r="K43" s="97">
        <f>ROUND(G43*AP43,2)</f>
        <v>0</v>
      </c>
      <c r="L43" s="97">
        <f>ROUND(G43*H43,2)</f>
        <v>0</v>
      </c>
      <c r="M43" s="97">
        <f>L43*(1+BW43/100)</f>
        <v>0</v>
      </c>
      <c r="N43" s="97">
        <v>3.2649999999999998E-2</v>
      </c>
      <c r="O43" s="96">
        <f>G43*N43</f>
        <v>0.53872500000000001</v>
      </c>
      <c r="P43" s="99" t="s">
        <v>156</v>
      </c>
      <c r="Z43" s="55">
        <f>ROUND(IF(AQ43="5",BJ43,0),2)</f>
        <v>0</v>
      </c>
      <c r="AB43" s="55">
        <f>ROUND(IF(AQ43="1",BH43,0),2)</f>
        <v>0</v>
      </c>
      <c r="AC43" s="55">
        <f>ROUND(IF(AQ43="1",BI43,0),2)</f>
        <v>0</v>
      </c>
      <c r="AD43" s="55">
        <f>ROUND(IF(AQ43="7",BH43,0),2)</f>
        <v>0</v>
      </c>
      <c r="AE43" s="55">
        <f>ROUND(IF(AQ43="7",BI43,0),2)</f>
        <v>0</v>
      </c>
      <c r="AF43" s="55">
        <f>ROUND(IF(AQ43="2",BH43,0),2)</f>
        <v>0</v>
      </c>
      <c r="AG43" s="55">
        <f>ROUND(IF(AQ43="2",BI43,0),2)</f>
        <v>0</v>
      </c>
      <c r="AH43" s="55">
        <f>ROUND(IF(AQ43="0",BJ43,0),2)</f>
        <v>0</v>
      </c>
      <c r="AI43" s="75" t="s">
        <v>103</v>
      </c>
      <c r="AJ43" s="55">
        <f>IF(AN43=0,L43,0)</f>
        <v>0</v>
      </c>
      <c r="AK43" s="55">
        <f>IF(AN43=12,L43,0)</f>
        <v>0</v>
      </c>
      <c r="AL43" s="55">
        <f>IF(AN43=21,L43,0)</f>
        <v>0</v>
      </c>
      <c r="AN43" s="55">
        <v>21</v>
      </c>
      <c r="AO43" s="55">
        <f>H43*0</f>
        <v>0</v>
      </c>
      <c r="AP43" s="55">
        <f>H43*(1-0)</f>
        <v>0</v>
      </c>
      <c r="AQ43" s="54" t="s">
        <v>157</v>
      </c>
      <c r="AV43" s="55">
        <f>ROUND(AW43+AX43,2)</f>
        <v>0</v>
      </c>
      <c r="AW43" s="55">
        <f>ROUND(G43*AO43,2)</f>
        <v>0</v>
      </c>
      <c r="AX43" s="55">
        <f>ROUND(G43*AP43,2)</f>
        <v>0</v>
      </c>
      <c r="AY43" s="54" t="s">
        <v>253</v>
      </c>
      <c r="AZ43" s="54" t="s">
        <v>238</v>
      </c>
      <c r="BA43" s="75" t="s">
        <v>160</v>
      </c>
      <c r="BC43" s="55">
        <f>AW43+AX43</f>
        <v>0</v>
      </c>
      <c r="BD43" s="55">
        <f>H43/(100-BE43)*100</f>
        <v>0</v>
      </c>
      <c r="BE43" s="55">
        <v>0</v>
      </c>
      <c r="BF43" s="55">
        <f>O43</f>
        <v>0.53872500000000001</v>
      </c>
      <c r="BH43" s="55">
        <f>G43*AO43</f>
        <v>0</v>
      </c>
      <c r="BI43" s="55">
        <f>G43*AP43</f>
        <v>0</v>
      </c>
      <c r="BJ43" s="55">
        <f>G43*H43</f>
        <v>0</v>
      </c>
      <c r="BK43" s="54" t="s">
        <v>161</v>
      </c>
      <c r="BL43" s="55">
        <v>766</v>
      </c>
      <c r="BW43" s="55">
        <f>I43</f>
        <v>21</v>
      </c>
      <c r="BX43" s="16" t="s">
        <v>252</v>
      </c>
    </row>
    <row r="44" spans="1:76" ht="15" customHeight="1" x14ac:dyDescent="0.3">
      <c r="A44" s="94" t="s">
        <v>254</v>
      </c>
      <c r="B44" s="94" t="s">
        <v>103</v>
      </c>
      <c r="C44" s="94" t="s">
        <v>255</v>
      </c>
      <c r="D44" s="199" t="s">
        <v>256</v>
      </c>
      <c r="E44" s="199"/>
      <c r="F44" s="94" t="s">
        <v>212</v>
      </c>
      <c r="G44" s="96">
        <v>24</v>
      </c>
      <c r="H44" s="97"/>
      <c r="I44" s="98">
        <v>21</v>
      </c>
      <c r="J44" s="97">
        <f>ROUND(G44*AO44,2)</f>
        <v>0</v>
      </c>
      <c r="K44" s="97">
        <f>ROUND(G44*AP44,2)</f>
        <v>0</v>
      </c>
      <c r="L44" s="97">
        <f>ROUND(G44*H44,2)</f>
        <v>0</v>
      </c>
      <c r="M44" s="97">
        <f>L44*(1+BW44/100)</f>
        <v>0</v>
      </c>
      <c r="N44" s="97">
        <v>1.8E-3</v>
      </c>
      <c r="O44" s="96">
        <f>G44*N44</f>
        <v>4.3200000000000002E-2</v>
      </c>
      <c r="P44" s="99" t="s">
        <v>156</v>
      </c>
      <c r="Z44" s="55">
        <f>ROUND(IF(AQ44="5",BJ44,0),2)</f>
        <v>0</v>
      </c>
      <c r="AB44" s="55">
        <f>ROUND(IF(AQ44="1",BH44,0),2)</f>
        <v>0</v>
      </c>
      <c r="AC44" s="55">
        <f>ROUND(IF(AQ44="1",BI44,0),2)</f>
        <v>0</v>
      </c>
      <c r="AD44" s="55">
        <f>ROUND(IF(AQ44="7",BH44,0),2)</f>
        <v>0</v>
      </c>
      <c r="AE44" s="55">
        <f>ROUND(IF(AQ44="7",BI44,0),2)</f>
        <v>0</v>
      </c>
      <c r="AF44" s="55">
        <f>ROUND(IF(AQ44="2",BH44,0),2)</f>
        <v>0</v>
      </c>
      <c r="AG44" s="55">
        <f>ROUND(IF(AQ44="2",BI44,0),2)</f>
        <v>0</v>
      </c>
      <c r="AH44" s="55">
        <f>ROUND(IF(AQ44="0",BJ44,0),2)</f>
        <v>0</v>
      </c>
      <c r="AI44" s="75" t="s">
        <v>103</v>
      </c>
      <c r="AJ44" s="55">
        <f>IF(AN44=0,L44,0)</f>
        <v>0</v>
      </c>
      <c r="AK44" s="55">
        <f>IF(AN44=12,L44,0)</f>
        <v>0</v>
      </c>
      <c r="AL44" s="55">
        <f>IF(AN44=21,L44,0)</f>
        <v>0</v>
      </c>
      <c r="AN44" s="55">
        <v>21</v>
      </c>
      <c r="AO44" s="55">
        <f>H44*0</f>
        <v>0</v>
      </c>
      <c r="AP44" s="55">
        <f>H44*(1-0)</f>
        <v>0</v>
      </c>
      <c r="AQ44" s="54" t="s">
        <v>157</v>
      </c>
      <c r="AV44" s="55">
        <f>ROUND(AW44+AX44,2)</f>
        <v>0</v>
      </c>
      <c r="AW44" s="55">
        <f>ROUND(G44*AO44,2)</f>
        <v>0</v>
      </c>
      <c r="AX44" s="55">
        <f>ROUND(G44*AP44,2)</f>
        <v>0</v>
      </c>
      <c r="AY44" s="54" t="s">
        <v>253</v>
      </c>
      <c r="AZ44" s="54" t="s">
        <v>238</v>
      </c>
      <c r="BA44" s="75" t="s">
        <v>160</v>
      </c>
      <c r="BC44" s="55">
        <f>AW44+AX44</f>
        <v>0</v>
      </c>
      <c r="BD44" s="55">
        <f>H44/(100-BE44)*100</f>
        <v>0</v>
      </c>
      <c r="BE44" s="55">
        <v>0</v>
      </c>
      <c r="BF44" s="55">
        <f>O44</f>
        <v>4.3200000000000002E-2</v>
      </c>
      <c r="BH44" s="55">
        <f>G44*AO44</f>
        <v>0</v>
      </c>
      <c r="BI44" s="55">
        <f>G44*AP44</f>
        <v>0</v>
      </c>
      <c r="BJ44" s="55">
        <f>G44*H44</f>
        <v>0</v>
      </c>
      <c r="BK44" s="54" t="s">
        <v>161</v>
      </c>
      <c r="BL44" s="55">
        <v>766</v>
      </c>
      <c r="BW44" s="55">
        <f>I44</f>
        <v>21</v>
      </c>
      <c r="BX44" s="16" t="s">
        <v>256</v>
      </c>
    </row>
    <row r="45" spans="1:76" ht="15" customHeight="1" x14ac:dyDescent="0.3">
      <c r="A45" s="94" t="s">
        <v>257</v>
      </c>
      <c r="B45" s="94" t="s">
        <v>103</v>
      </c>
      <c r="C45" s="94" t="s">
        <v>258</v>
      </c>
      <c r="D45" s="199" t="s">
        <v>259</v>
      </c>
      <c r="E45" s="199"/>
      <c r="F45" s="94" t="s">
        <v>212</v>
      </c>
      <c r="G45" s="96">
        <v>4</v>
      </c>
      <c r="H45" s="97"/>
      <c r="I45" s="98">
        <v>21</v>
      </c>
      <c r="J45" s="97">
        <f>ROUND(G45*AO45,2)</f>
        <v>0</v>
      </c>
      <c r="K45" s="97">
        <f>ROUND(G45*AP45,2)</f>
        <v>0</v>
      </c>
      <c r="L45" s="97">
        <f>ROUND(G45*H45,2)</f>
        <v>0</v>
      </c>
      <c r="M45" s="97">
        <f>L45*(1+BW45/100)</f>
        <v>0</v>
      </c>
      <c r="N45" s="97">
        <v>8.8099999999999998E-2</v>
      </c>
      <c r="O45" s="96">
        <f>G45*N45</f>
        <v>0.35239999999999999</v>
      </c>
      <c r="P45" s="99" t="s">
        <v>156</v>
      </c>
      <c r="Z45" s="55">
        <f>ROUND(IF(AQ45="5",BJ45,0),2)</f>
        <v>0</v>
      </c>
      <c r="AB45" s="55">
        <f>ROUND(IF(AQ45="1",BH45,0),2)</f>
        <v>0</v>
      </c>
      <c r="AC45" s="55">
        <f>ROUND(IF(AQ45="1",BI45,0),2)</f>
        <v>0</v>
      </c>
      <c r="AD45" s="55">
        <f>ROUND(IF(AQ45="7",BH45,0),2)</f>
        <v>0</v>
      </c>
      <c r="AE45" s="55">
        <f>ROUND(IF(AQ45="7",BI45,0),2)</f>
        <v>0</v>
      </c>
      <c r="AF45" s="55">
        <f>ROUND(IF(AQ45="2",BH45,0),2)</f>
        <v>0</v>
      </c>
      <c r="AG45" s="55">
        <f>ROUND(IF(AQ45="2",BI45,0),2)</f>
        <v>0</v>
      </c>
      <c r="AH45" s="55">
        <f>ROUND(IF(AQ45="0",BJ45,0),2)</f>
        <v>0</v>
      </c>
      <c r="AI45" s="75" t="s">
        <v>103</v>
      </c>
      <c r="AJ45" s="55">
        <f>IF(AN45=0,L45,0)</f>
        <v>0</v>
      </c>
      <c r="AK45" s="55">
        <f>IF(AN45=12,L45,0)</f>
        <v>0</v>
      </c>
      <c r="AL45" s="55">
        <f>IF(AN45=21,L45,0)</f>
        <v>0</v>
      </c>
      <c r="AN45" s="55">
        <v>21</v>
      </c>
      <c r="AO45" s="55">
        <f>H45*0</f>
        <v>0</v>
      </c>
      <c r="AP45" s="55">
        <f>H45*(1-0)</f>
        <v>0</v>
      </c>
      <c r="AQ45" s="54" t="s">
        <v>157</v>
      </c>
      <c r="AV45" s="55">
        <f>ROUND(AW45+AX45,2)</f>
        <v>0</v>
      </c>
      <c r="AW45" s="55">
        <f>ROUND(G45*AO45,2)</f>
        <v>0</v>
      </c>
      <c r="AX45" s="55">
        <f>ROUND(G45*AP45,2)</f>
        <v>0</v>
      </c>
      <c r="AY45" s="54" t="s">
        <v>253</v>
      </c>
      <c r="AZ45" s="54" t="s">
        <v>238</v>
      </c>
      <c r="BA45" s="75" t="s">
        <v>160</v>
      </c>
      <c r="BC45" s="55">
        <f>AW45+AX45</f>
        <v>0</v>
      </c>
      <c r="BD45" s="55">
        <f>H45/(100-BE45)*100</f>
        <v>0</v>
      </c>
      <c r="BE45" s="55">
        <v>0</v>
      </c>
      <c r="BF45" s="55">
        <f>O45</f>
        <v>0.35239999999999999</v>
      </c>
      <c r="BH45" s="55">
        <f>G45*AO45</f>
        <v>0</v>
      </c>
      <c r="BI45" s="55">
        <f>G45*AP45</f>
        <v>0</v>
      </c>
      <c r="BJ45" s="55">
        <f>G45*H45</f>
        <v>0</v>
      </c>
      <c r="BK45" s="54" t="s">
        <v>161</v>
      </c>
      <c r="BL45" s="55">
        <v>766</v>
      </c>
      <c r="BW45" s="55">
        <f>I45</f>
        <v>21</v>
      </c>
      <c r="BX45" s="16" t="s">
        <v>259</v>
      </c>
    </row>
    <row r="46" spans="1:76" ht="15" customHeight="1" x14ac:dyDescent="0.3">
      <c r="A46" s="94" t="s">
        <v>260</v>
      </c>
      <c r="B46" s="94" t="s">
        <v>103</v>
      </c>
      <c r="C46" s="94" t="s">
        <v>261</v>
      </c>
      <c r="D46" s="199" t="s">
        <v>262</v>
      </c>
      <c r="E46" s="199"/>
      <c r="F46" s="94" t="s">
        <v>212</v>
      </c>
      <c r="G46" s="96">
        <v>6</v>
      </c>
      <c r="H46" s="97"/>
      <c r="I46" s="98">
        <v>21</v>
      </c>
      <c r="J46" s="97">
        <f>ROUND(G46*AO46,2)</f>
        <v>0</v>
      </c>
      <c r="K46" s="97">
        <f>ROUND(G46*AP46,2)</f>
        <v>0</v>
      </c>
      <c r="L46" s="97">
        <f>ROUND(G46*H46,2)</f>
        <v>0</v>
      </c>
      <c r="M46" s="97">
        <f>L46*(1+BW46/100)</f>
        <v>0</v>
      </c>
      <c r="N46" s="97">
        <v>0.1104</v>
      </c>
      <c r="O46" s="96">
        <f>G46*N46</f>
        <v>0.66239999999999999</v>
      </c>
      <c r="P46" s="99" t="s">
        <v>156</v>
      </c>
      <c r="Z46" s="55">
        <f>ROUND(IF(AQ46="5",BJ46,0),2)</f>
        <v>0</v>
      </c>
      <c r="AB46" s="55">
        <f>ROUND(IF(AQ46="1",BH46,0),2)</f>
        <v>0</v>
      </c>
      <c r="AC46" s="55">
        <f>ROUND(IF(AQ46="1",BI46,0),2)</f>
        <v>0</v>
      </c>
      <c r="AD46" s="55">
        <f>ROUND(IF(AQ46="7",BH46,0),2)</f>
        <v>0</v>
      </c>
      <c r="AE46" s="55">
        <f>ROUND(IF(AQ46="7",BI46,0),2)</f>
        <v>0</v>
      </c>
      <c r="AF46" s="55">
        <f>ROUND(IF(AQ46="2",BH46,0),2)</f>
        <v>0</v>
      </c>
      <c r="AG46" s="55">
        <f>ROUND(IF(AQ46="2",BI46,0),2)</f>
        <v>0</v>
      </c>
      <c r="AH46" s="55">
        <f>ROUND(IF(AQ46="0",BJ46,0),2)</f>
        <v>0</v>
      </c>
      <c r="AI46" s="75" t="s">
        <v>103</v>
      </c>
      <c r="AJ46" s="55">
        <f>IF(AN46=0,L46,0)</f>
        <v>0</v>
      </c>
      <c r="AK46" s="55">
        <f>IF(AN46=12,L46,0)</f>
        <v>0</v>
      </c>
      <c r="AL46" s="55">
        <f>IF(AN46=21,L46,0)</f>
        <v>0</v>
      </c>
      <c r="AN46" s="55">
        <v>21</v>
      </c>
      <c r="AO46" s="55">
        <f>H46*0</f>
        <v>0</v>
      </c>
      <c r="AP46" s="55">
        <f>H46*(1-0)</f>
        <v>0</v>
      </c>
      <c r="AQ46" s="54" t="s">
        <v>157</v>
      </c>
      <c r="AV46" s="55">
        <f>ROUND(AW46+AX46,2)</f>
        <v>0</v>
      </c>
      <c r="AW46" s="55">
        <f>ROUND(G46*AO46,2)</f>
        <v>0</v>
      </c>
      <c r="AX46" s="55">
        <f>ROUND(G46*AP46,2)</f>
        <v>0</v>
      </c>
      <c r="AY46" s="54" t="s">
        <v>253</v>
      </c>
      <c r="AZ46" s="54" t="s">
        <v>238</v>
      </c>
      <c r="BA46" s="75" t="s">
        <v>160</v>
      </c>
      <c r="BC46" s="55">
        <f>AW46+AX46</f>
        <v>0</v>
      </c>
      <c r="BD46" s="55">
        <f>H46/(100-BE46)*100</f>
        <v>0</v>
      </c>
      <c r="BE46" s="55">
        <v>0</v>
      </c>
      <c r="BF46" s="55">
        <f>O46</f>
        <v>0.66239999999999999</v>
      </c>
      <c r="BH46" s="55">
        <f>G46*AO46</f>
        <v>0</v>
      </c>
      <c r="BI46" s="55">
        <f>G46*AP46</f>
        <v>0</v>
      </c>
      <c r="BJ46" s="55">
        <f>G46*H46</f>
        <v>0</v>
      </c>
      <c r="BK46" s="54" t="s">
        <v>161</v>
      </c>
      <c r="BL46" s="55">
        <v>766</v>
      </c>
      <c r="BW46" s="55">
        <f>I46</f>
        <v>21</v>
      </c>
      <c r="BX46" s="16" t="s">
        <v>262</v>
      </c>
    </row>
    <row r="47" spans="1:76" ht="15" customHeight="1" x14ac:dyDescent="0.3">
      <c r="A47" s="94" t="s">
        <v>263</v>
      </c>
      <c r="B47" s="94" t="s">
        <v>103</v>
      </c>
      <c r="C47" s="94" t="s">
        <v>264</v>
      </c>
      <c r="D47" s="199" t="s">
        <v>265</v>
      </c>
      <c r="E47" s="199"/>
      <c r="F47" s="94" t="s">
        <v>212</v>
      </c>
      <c r="G47" s="96">
        <v>4</v>
      </c>
      <c r="H47" s="97"/>
      <c r="I47" s="98">
        <v>21</v>
      </c>
      <c r="J47" s="97">
        <f>ROUND(G47*AO47,2)</f>
        <v>0</v>
      </c>
      <c r="K47" s="97">
        <f>ROUND(G47*AP47,2)</f>
        <v>0</v>
      </c>
      <c r="L47" s="97">
        <f>ROUND(G47*H47,2)</f>
        <v>0</v>
      </c>
      <c r="M47" s="97">
        <f>L47*(1+BW47/100)</f>
        <v>0</v>
      </c>
      <c r="N47" s="97">
        <v>0.17399999999999999</v>
      </c>
      <c r="O47" s="96">
        <f>G47*N47</f>
        <v>0.69599999999999995</v>
      </c>
      <c r="P47" s="99" t="s">
        <v>156</v>
      </c>
      <c r="Z47" s="55">
        <f>ROUND(IF(AQ47="5",BJ47,0),2)</f>
        <v>0</v>
      </c>
      <c r="AB47" s="55">
        <f>ROUND(IF(AQ47="1",BH47,0),2)</f>
        <v>0</v>
      </c>
      <c r="AC47" s="55">
        <f>ROUND(IF(AQ47="1",BI47,0),2)</f>
        <v>0</v>
      </c>
      <c r="AD47" s="55">
        <f>ROUND(IF(AQ47="7",BH47,0),2)</f>
        <v>0</v>
      </c>
      <c r="AE47" s="55">
        <f>ROUND(IF(AQ47="7",BI47,0),2)</f>
        <v>0</v>
      </c>
      <c r="AF47" s="55">
        <f>ROUND(IF(AQ47="2",BH47,0),2)</f>
        <v>0</v>
      </c>
      <c r="AG47" s="55">
        <f>ROUND(IF(AQ47="2",BI47,0),2)</f>
        <v>0</v>
      </c>
      <c r="AH47" s="55">
        <f>ROUND(IF(AQ47="0",BJ47,0),2)</f>
        <v>0</v>
      </c>
      <c r="AI47" s="75" t="s">
        <v>103</v>
      </c>
      <c r="AJ47" s="55">
        <f>IF(AN47=0,L47,0)</f>
        <v>0</v>
      </c>
      <c r="AK47" s="55">
        <f>IF(AN47=12,L47,0)</f>
        <v>0</v>
      </c>
      <c r="AL47" s="55">
        <f>IF(AN47=21,L47,0)</f>
        <v>0</v>
      </c>
      <c r="AN47" s="55">
        <v>21</v>
      </c>
      <c r="AO47" s="55">
        <f>H47*0</f>
        <v>0</v>
      </c>
      <c r="AP47" s="55">
        <f>H47*(1-0)</f>
        <v>0</v>
      </c>
      <c r="AQ47" s="54" t="s">
        <v>157</v>
      </c>
      <c r="AV47" s="55">
        <f>ROUND(AW47+AX47,2)</f>
        <v>0</v>
      </c>
      <c r="AW47" s="55">
        <f>ROUND(G47*AO47,2)</f>
        <v>0</v>
      </c>
      <c r="AX47" s="55">
        <f>ROUND(G47*AP47,2)</f>
        <v>0</v>
      </c>
      <c r="AY47" s="54" t="s">
        <v>253</v>
      </c>
      <c r="AZ47" s="54" t="s">
        <v>238</v>
      </c>
      <c r="BA47" s="75" t="s">
        <v>160</v>
      </c>
      <c r="BC47" s="55">
        <f>AW47+AX47</f>
        <v>0</v>
      </c>
      <c r="BD47" s="55">
        <f>H47/(100-BE47)*100</f>
        <v>0</v>
      </c>
      <c r="BE47" s="55">
        <v>0</v>
      </c>
      <c r="BF47" s="55">
        <f>O47</f>
        <v>0.69599999999999995</v>
      </c>
      <c r="BH47" s="55">
        <f>G47*AO47</f>
        <v>0</v>
      </c>
      <c r="BI47" s="55">
        <f>G47*AP47</f>
        <v>0</v>
      </c>
      <c r="BJ47" s="55">
        <f>G47*H47</f>
        <v>0</v>
      </c>
      <c r="BK47" s="54" t="s">
        <v>161</v>
      </c>
      <c r="BL47" s="55">
        <v>766</v>
      </c>
      <c r="BW47" s="55">
        <f>I47</f>
        <v>21</v>
      </c>
      <c r="BX47" s="16" t="s">
        <v>265</v>
      </c>
    </row>
    <row r="48" spans="1:76" ht="15" customHeight="1" x14ac:dyDescent="0.3">
      <c r="A48" s="88"/>
      <c r="B48" s="89" t="s">
        <v>103</v>
      </c>
      <c r="C48" s="89" t="s">
        <v>266</v>
      </c>
      <c r="D48" s="198" t="s">
        <v>267</v>
      </c>
      <c r="E48" s="198"/>
      <c r="F48" s="88" t="s">
        <v>96</v>
      </c>
      <c r="G48" s="90" t="s">
        <v>96</v>
      </c>
      <c r="H48" s="88"/>
      <c r="I48" s="88" t="s">
        <v>96</v>
      </c>
      <c r="J48" s="91">
        <f>SUM(J49:J50)</f>
        <v>0</v>
      </c>
      <c r="K48" s="91">
        <f>SUM(K49:K50)</f>
        <v>0</v>
      </c>
      <c r="L48" s="91">
        <f>SUM(L49:L50)</f>
        <v>0</v>
      </c>
      <c r="M48" s="91">
        <f>SUM(M49:M50)</f>
        <v>0</v>
      </c>
      <c r="N48" s="92"/>
      <c r="O48" s="93">
        <f>SUM(O49:O50)</f>
        <v>1.0150199999999998</v>
      </c>
      <c r="P48" s="92"/>
      <c r="AI48" s="75" t="s">
        <v>103</v>
      </c>
      <c r="AS48" s="68">
        <f>SUM(AJ49:AJ50)</f>
        <v>0</v>
      </c>
      <c r="AT48" s="68">
        <f>SUM(AK49:AK50)</f>
        <v>0</v>
      </c>
      <c r="AU48" s="68">
        <f>SUM(AL49:AL50)</f>
        <v>0</v>
      </c>
    </row>
    <row r="49" spans="1:76" ht="15" customHeight="1" x14ac:dyDescent="0.3">
      <c r="A49" s="94" t="s">
        <v>268</v>
      </c>
      <c r="B49" s="94" t="s">
        <v>103</v>
      </c>
      <c r="C49" s="94" t="s">
        <v>269</v>
      </c>
      <c r="D49" s="199" t="s">
        <v>270</v>
      </c>
      <c r="E49" s="199"/>
      <c r="F49" s="94" t="s">
        <v>155</v>
      </c>
      <c r="G49" s="96">
        <v>47.04</v>
      </c>
      <c r="H49" s="97"/>
      <c r="I49" s="98">
        <v>21</v>
      </c>
      <c r="J49" s="97">
        <f>ROUND(G49*AO49,2)</f>
        <v>0</v>
      </c>
      <c r="K49" s="97">
        <f>ROUND(G49*AP49,2)</f>
        <v>0</v>
      </c>
      <c r="L49" s="97">
        <f>ROUND(G49*H49,2)</f>
        <v>0</v>
      </c>
      <c r="M49" s="97">
        <f>L49*(1+BW49/100)</f>
        <v>0</v>
      </c>
      <c r="N49" s="97">
        <v>1.7999999999999999E-2</v>
      </c>
      <c r="O49" s="96">
        <f>G49*N49</f>
        <v>0.84671999999999992</v>
      </c>
      <c r="P49" s="99" t="s">
        <v>156</v>
      </c>
      <c r="Z49" s="55">
        <f>ROUND(IF(AQ49="5",BJ49,0),2)</f>
        <v>0</v>
      </c>
      <c r="AB49" s="55">
        <f>ROUND(IF(AQ49="1",BH49,0),2)</f>
        <v>0</v>
      </c>
      <c r="AC49" s="55">
        <f>ROUND(IF(AQ49="1",BI49,0),2)</f>
        <v>0</v>
      </c>
      <c r="AD49" s="55">
        <f>ROUND(IF(AQ49="7",BH49,0),2)</f>
        <v>0</v>
      </c>
      <c r="AE49" s="55">
        <f>ROUND(IF(AQ49="7",BI49,0),2)</f>
        <v>0</v>
      </c>
      <c r="AF49" s="55">
        <f>ROUND(IF(AQ49="2",BH49,0),2)</f>
        <v>0</v>
      </c>
      <c r="AG49" s="55">
        <f>ROUND(IF(AQ49="2",BI49,0),2)</f>
        <v>0</v>
      </c>
      <c r="AH49" s="55">
        <f>ROUND(IF(AQ49="0",BJ49,0),2)</f>
        <v>0</v>
      </c>
      <c r="AI49" s="75" t="s">
        <v>103</v>
      </c>
      <c r="AJ49" s="55">
        <f>IF(AN49=0,L49,0)</f>
        <v>0</v>
      </c>
      <c r="AK49" s="55">
        <f>IF(AN49=12,L49,0)</f>
        <v>0</v>
      </c>
      <c r="AL49" s="55">
        <f>IF(AN49=21,L49,0)</f>
        <v>0</v>
      </c>
      <c r="AN49" s="55">
        <v>21</v>
      </c>
      <c r="AO49" s="55">
        <f>H49*0</f>
        <v>0</v>
      </c>
      <c r="AP49" s="55">
        <f>H49*(1-0)</f>
        <v>0</v>
      </c>
      <c r="AQ49" s="54" t="s">
        <v>157</v>
      </c>
      <c r="AV49" s="55">
        <f>ROUND(AW49+AX49,2)</f>
        <v>0</v>
      </c>
      <c r="AW49" s="55">
        <f>ROUND(G49*AO49,2)</f>
        <v>0</v>
      </c>
      <c r="AX49" s="55">
        <f>ROUND(G49*AP49,2)</f>
        <v>0</v>
      </c>
      <c r="AY49" s="54" t="s">
        <v>271</v>
      </c>
      <c r="AZ49" s="54" t="s">
        <v>238</v>
      </c>
      <c r="BA49" s="75" t="s">
        <v>160</v>
      </c>
      <c r="BC49" s="55">
        <f>AW49+AX49</f>
        <v>0</v>
      </c>
      <c r="BD49" s="55">
        <f>H49/(100-BE49)*100</f>
        <v>0</v>
      </c>
      <c r="BE49" s="55">
        <v>0</v>
      </c>
      <c r="BF49" s="55">
        <f>O49</f>
        <v>0.84671999999999992</v>
      </c>
      <c r="BH49" s="55">
        <f>G49*AO49</f>
        <v>0</v>
      </c>
      <c r="BI49" s="55">
        <f>G49*AP49</f>
        <v>0</v>
      </c>
      <c r="BJ49" s="55">
        <f>G49*H49</f>
        <v>0</v>
      </c>
      <c r="BK49" s="54" t="s">
        <v>161</v>
      </c>
      <c r="BL49" s="55">
        <v>767</v>
      </c>
      <c r="BW49" s="55">
        <f>I49</f>
        <v>21</v>
      </c>
      <c r="BX49" s="16" t="s">
        <v>270</v>
      </c>
    </row>
    <row r="50" spans="1:76" ht="15" customHeight="1" x14ac:dyDescent="0.3">
      <c r="A50" s="94" t="s">
        <v>272</v>
      </c>
      <c r="B50" s="94" t="s">
        <v>103</v>
      </c>
      <c r="C50" s="94" t="s">
        <v>273</v>
      </c>
      <c r="D50" s="199" t="s">
        <v>274</v>
      </c>
      <c r="E50" s="199"/>
      <c r="F50" s="94" t="s">
        <v>155</v>
      </c>
      <c r="G50" s="96">
        <v>16.5</v>
      </c>
      <c r="H50" s="97"/>
      <c r="I50" s="98">
        <v>21</v>
      </c>
      <c r="J50" s="97">
        <f>ROUND(G50*AO50,2)</f>
        <v>0</v>
      </c>
      <c r="K50" s="97">
        <f>ROUND(G50*AP50,2)</f>
        <v>0</v>
      </c>
      <c r="L50" s="97">
        <f>ROUND(G50*H50,2)</f>
        <v>0</v>
      </c>
      <c r="M50" s="97">
        <f>L50*(1+BW50/100)</f>
        <v>0</v>
      </c>
      <c r="N50" s="97">
        <v>1.0200000000000001E-2</v>
      </c>
      <c r="O50" s="96">
        <f>G50*N50</f>
        <v>0.16830000000000001</v>
      </c>
      <c r="P50" s="99" t="s">
        <v>156</v>
      </c>
      <c r="Z50" s="55">
        <f>ROUND(IF(AQ50="5",BJ50,0),2)</f>
        <v>0</v>
      </c>
      <c r="AB50" s="55">
        <f>ROUND(IF(AQ50="1",BH50,0),2)</f>
        <v>0</v>
      </c>
      <c r="AC50" s="55">
        <f>ROUND(IF(AQ50="1",BI50,0),2)</f>
        <v>0</v>
      </c>
      <c r="AD50" s="55">
        <f>ROUND(IF(AQ50="7",BH50,0),2)</f>
        <v>0</v>
      </c>
      <c r="AE50" s="55">
        <f>ROUND(IF(AQ50="7",BI50,0),2)</f>
        <v>0</v>
      </c>
      <c r="AF50" s="55">
        <f>ROUND(IF(AQ50="2",BH50,0),2)</f>
        <v>0</v>
      </c>
      <c r="AG50" s="55">
        <f>ROUND(IF(AQ50="2",BI50,0),2)</f>
        <v>0</v>
      </c>
      <c r="AH50" s="55">
        <f>ROUND(IF(AQ50="0",BJ50,0),2)</f>
        <v>0</v>
      </c>
      <c r="AI50" s="75" t="s">
        <v>103</v>
      </c>
      <c r="AJ50" s="55">
        <f>IF(AN50=0,L50,0)</f>
        <v>0</v>
      </c>
      <c r="AK50" s="55">
        <f>IF(AN50=12,L50,0)</f>
        <v>0</v>
      </c>
      <c r="AL50" s="55">
        <f>IF(AN50=21,L50,0)</f>
        <v>0</v>
      </c>
      <c r="AN50" s="55">
        <v>21</v>
      </c>
      <c r="AO50" s="55">
        <f>H50*0</f>
        <v>0</v>
      </c>
      <c r="AP50" s="55">
        <f>H50*(1-0)</f>
        <v>0</v>
      </c>
      <c r="AQ50" s="54" t="s">
        <v>157</v>
      </c>
      <c r="AV50" s="55">
        <f>ROUND(AW50+AX50,2)</f>
        <v>0</v>
      </c>
      <c r="AW50" s="55">
        <f>ROUND(G50*AO50,2)</f>
        <v>0</v>
      </c>
      <c r="AX50" s="55">
        <f>ROUND(G50*AP50,2)</f>
        <v>0</v>
      </c>
      <c r="AY50" s="54" t="s">
        <v>271</v>
      </c>
      <c r="AZ50" s="54" t="s">
        <v>238</v>
      </c>
      <c r="BA50" s="75" t="s">
        <v>160</v>
      </c>
      <c r="BC50" s="55">
        <f>AW50+AX50</f>
        <v>0</v>
      </c>
      <c r="BD50" s="55">
        <f>H50/(100-BE50)*100</f>
        <v>0</v>
      </c>
      <c r="BE50" s="55">
        <v>0</v>
      </c>
      <c r="BF50" s="55">
        <f>O50</f>
        <v>0.16830000000000001</v>
      </c>
      <c r="BH50" s="55">
        <f>G50*AO50</f>
        <v>0</v>
      </c>
      <c r="BI50" s="55">
        <f>G50*AP50</f>
        <v>0</v>
      </c>
      <c r="BJ50" s="55">
        <f>G50*H50</f>
        <v>0</v>
      </c>
      <c r="BK50" s="54" t="s">
        <v>161</v>
      </c>
      <c r="BL50" s="55">
        <v>767</v>
      </c>
      <c r="BW50" s="55">
        <f>I50</f>
        <v>21</v>
      </c>
      <c r="BX50" s="16" t="s">
        <v>274</v>
      </c>
    </row>
    <row r="51" spans="1:76" ht="15" customHeight="1" x14ac:dyDescent="0.3">
      <c r="A51" s="88"/>
      <c r="B51" s="89" t="s">
        <v>103</v>
      </c>
      <c r="C51" s="89" t="s">
        <v>275</v>
      </c>
      <c r="D51" s="198" t="s">
        <v>276</v>
      </c>
      <c r="E51" s="198"/>
      <c r="F51" s="88" t="s">
        <v>96</v>
      </c>
      <c r="G51" s="90" t="s">
        <v>96</v>
      </c>
      <c r="H51" s="88"/>
      <c r="I51" s="88" t="s">
        <v>96</v>
      </c>
      <c r="J51" s="91">
        <f>SUM(J52)</f>
        <v>0</v>
      </c>
      <c r="K51" s="91">
        <f>SUM(K52)</f>
        <v>0</v>
      </c>
      <c r="L51" s="91">
        <f>SUM(L52)</f>
        <v>0</v>
      </c>
      <c r="M51" s="91">
        <f>SUM(M52)</f>
        <v>0</v>
      </c>
      <c r="N51" s="92"/>
      <c r="O51" s="93">
        <f>SUM(O52)</f>
        <v>0.26956799999999997</v>
      </c>
      <c r="P51" s="92"/>
      <c r="AI51" s="75" t="s">
        <v>103</v>
      </c>
      <c r="AS51" s="68">
        <f>SUM(AJ52)</f>
        <v>0</v>
      </c>
      <c r="AT51" s="68">
        <f>SUM(AK52)</f>
        <v>0</v>
      </c>
      <c r="AU51" s="68">
        <f>SUM(AL52)</f>
        <v>0</v>
      </c>
    </row>
    <row r="52" spans="1:76" ht="23.85" customHeight="1" x14ac:dyDescent="0.3">
      <c r="A52" s="94" t="s">
        <v>277</v>
      </c>
      <c r="B52" s="94" t="s">
        <v>103</v>
      </c>
      <c r="C52" s="94" t="s">
        <v>278</v>
      </c>
      <c r="D52" s="199" t="s">
        <v>279</v>
      </c>
      <c r="E52" s="199"/>
      <c r="F52" s="94" t="s">
        <v>155</v>
      </c>
      <c r="G52" s="96">
        <v>249.6</v>
      </c>
      <c r="H52" s="97"/>
      <c r="I52" s="98">
        <v>21</v>
      </c>
      <c r="J52" s="97">
        <f>ROUND(G52*AO52,2)</f>
        <v>0</v>
      </c>
      <c r="K52" s="97">
        <f>ROUND(G52*AP52,2)</f>
        <v>0</v>
      </c>
      <c r="L52" s="97">
        <f>ROUND(G52*H52,2)</f>
        <v>0</v>
      </c>
      <c r="M52" s="97">
        <f>L52*(1+BW52/100)</f>
        <v>0</v>
      </c>
      <c r="N52" s="97">
        <v>1.08E-3</v>
      </c>
      <c r="O52" s="96">
        <f>G52*N52</f>
        <v>0.26956799999999997</v>
      </c>
      <c r="P52" s="99" t="s">
        <v>156</v>
      </c>
      <c r="Z52" s="55">
        <f>ROUND(IF(AQ52="5",BJ52,0),2)</f>
        <v>0</v>
      </c>
      <c r="AB52" s="55">
        <f>ROUND(IF(AQ52="1",BH52,0),2)</f>
        <v>0</v>
      </c>
      <c r="AC52" s="55">
        <f>ROUND(IF(AQ52="1",BI52,0),2)</f>
        <v>0</v>
      </c>
      <c r="AD52" s="55">
        <f>ROUND(IF(AQ52="7",BH52,0),2)</f>
        <v>0</v>
      </c>
      <c r="AE52" s="55">
        <f>ROUND(IF(AQ52="7",BI52,0),2)</f>
        <v>0</v>
      </c>
      <c r="AF52" s="55">
        <f>ROUND(IF(AQ52="2",BH52,0),2)</f>
        <v>0</v>
      </c>
      <c r="AG52" s="55">
        <f>ROUND(IF(AQ52="2",BI52,0),2)</f>
        <v>0</v>
      </c>
      <c r="AH52" s="55">
        <f>ROUND(IF(AQ52="0",BJ52,0),2)</f>
        <v>0</v>
      </c>
      <c r="AI52" s="75" t="s">
        <v>103</v>
      </c>
      <c r="AJ52" s="55">
        <f>IF(AN52=0,L52,0)</f>
        <v>0</v>
      </c>
      <c r="AK52" s="55">
        <f>IF(AN52=12,L52,0)</f>
        <v>0</v>
      </c>
      <c r="AL52" s="55">
        <f>IF(AN52=21,L52,0)</f>
        <v>0</v>
      </c>
      <c r="AN52" s="55">
        <v>21</v>
      </c>
      <c r="AO52" s="55">
        <f>H52*0</f>
        <v>0</v>
      </c>
      <c r="AP52" s="55">
        <f>H52*(1-0)</f>
        <v>0</v>
      </c>
      <c r="AQ52" s="54" t="s">
        <v>157</v>
      </c>
      <c r="AV52" s="55">
        <f>ROUND(AW52+AX52,2)</f>
        <v>0</v>
      </c>
      <c r="AW52" s="55">
        <f>ROUND(G52*AO52,2)</f>
        <v>0</v>
      </c>
      <c r="AX52" s="55">
        <f>ROUND(G52*AP52,2)</f>
        <v>0</v>
      </c>
      <c r="AY52" s="54" t="s">
        <v>280</v>
      </c>
      <c r="AZ52" s="54" t="s">
        <v>281</v>
      </c>
      <c r="BA52" s="75" t="s">
        <v>160</v>
      </c>
      <c r="BC52" s="55">
        <f>AW52+AX52</f>
        <v>0</v>
      </c>
      <c r="BD52" s="55">
        <f>H52/(100-BE52)*100</f>
        <v>0</v>
      </c>
      <c r="BE52" s="55">
        <v>0</v>
      </c>
      <c r="BF52" s="55">
        <f>O52</f>
        <v>0.26956799999999997</v>
      </c>
      <c r="BH52" s="55">
        <f>G52*AO52</f>
        <v>0</v>
      </c>
      <c r="BI52" s="55">
        <f>G52*AP52</f>
        <v>0</v>
      </c>
      <c r="BJ52" s="55">
        <f>G52*H52</f>
        <v>0</v>
      </c>
      <c r="BK52" s="54" t="s">
        <v>161</v>
      </c>
      <c r="BL52" s="55">
        <v>776</v>
      </c>
      <c r="BW52" s="55">
        <f>I52</f>
        <v>21</v>
      </c>
      <c r="BX52" s="16" t="s">
        <v>279</v>
      </c>
    </row>
    <row r="53" spans="1:76" ht="15" customHeight="1" x14ac:dyDescent="0.3">
      <c r="A53" s="88"/>
      <c r="B53" s="89" t="s">
        <v>103</v>
      </c>
      <c r="C53" s="89" t="s">
        <v>282</v>
      </c>
      <c r="D53" s="198" t="s">
        <v>283</v>
      </c>
      <c r="E53" s="198"/>
      <c r="F53" s="88" t="s">
        <v>96</v>
      </c>
      <c r="G53" s="90" t="s">
        <v>96</v>
      </c>
      <c r="H53" s="88"/>
      <c r="I53" s="88" t="s">
        <v>96</v>
      </c>
      <c r="J53" s="91">
        <f>SUM(J54:J61)</f>
        <v>0</v>
      </c>
      <c r="K53" s="91">
        <f>SUM(K54:K61)</f>
        <v>0</v>
      </c>
      <c r="L53" s="91">
        <f>SUM(L54:L61)</f>
        <v>0</v>
      </c>
      <c r="M53" s="91">
        <f>SUM(M54:M61)</f>
        <v>0</v>
      </c>
      <c r="N53" s="92"/>
      <c r="O53" s="93">
        <f>SUM(O54:O61)</f>
        <v>0</v>
      </c>
      <c r="P53" s="92"/>
      <c r="AI53" s="75" t="s">
        <v>103</v>
      </c>
      <c r="AS53" s="68">
        <f>SUM(AJ54:AJ61)</f>
        <v>0</v>
      </c>
      <c r="AT53" s="68">
        <f>SUM(AK54:AK61)</f>
        <v>0</v>
      </c>
      <c r="AU53" s="68">
        <f>SUM(AL54:AL61)</f>
        <v>0</v>
      </c>
    </row>
    <row r="54" spans="1:76" ht="35.549999999999997" customHeight="1" x14ac:dyDescent="0.3">
      <c r="A54" s="94" t="s">
        <v>284</v>
      </c>
      <c r="B54" s="94" t="s">
        <v>103</v>
      </c>
      <c r="C54" s="94" t="s">
        <v>285</v>
      </c>
      <c r="D54" s="199" t="s">
        <v>286</v>
      </c>
      <c r="E54" s="199"/>
      <c r="F54" s="94" t="s">
        <v>287</v>
      </c>
      <c r="G54" s="96">
        <v>30</v>
      </c>
      <c r="H54" s="97"/>
      <c r="I54" s="98">
        <v>21</v>
      </c>
      <c r="J54" s="97">
        <f t="shared" ref="J54:J61" si="28">ROUND(G54*AO54,2)</f>
        <v>0</v>
      </c>
      <c r="K54" s="97">
        <f t="shared" ref="K54:K61" si="29">ROUND(G54*AP54,2)</f>
        <v>0</v>
      </c>
      <c r="L54" s="97">
        <f t="shared" ref="L54:L61" si="30">ROUND(G54*H54,2)</f>
        <v>0</v>
      </c>
      <c r="M54" s="97">
        <f t="shared" ref="M54:M61" si="31">L54*(1+BW54/100)</f>
        <v>0</v>
      </c>
      <c r="N54" s="97">
        <v>0</v>
      </c>
      <c r="O54" s="96">
        <f t="shared" ref="O54:O61" si="32">G54*N54</f>
        <v>0</v>
      </c>
      <c r="P54" s="99" t="s">
        <v>156</v>
      </c>
      <c r="Z54" s="55">
        <f t="shared" ref="Z54:Z61" si="33">ROUND(IF(AQ54="5",BJ54,0),2)</f>
        <v>0</v>
      </c>
      <c r="AB54" s="55">
        <f t="shared" ref="AB54:AB61" si="34">ROUND(IF(AQ54="1",BH54,0),2)</f>
        <v>0</v>
      </c>
      <c r="AC54" s="55">
        <f t="shared" ref="AC54:AC61" si="35">ROUND(IF(AQ54="1",BI54,0),2)</f>
        <v>0</v>
      </c>
      <c r="AD54" s="55">
        <f t="shared" ref="AD54:AD61" si="36">ROUND(IF(AQ54="7",BH54,0),2)</f>
        <v>0</v>
      </c>
      <c r="AE54" s="55">
        <f t="shared" ref="AE54:AE61" si="37">ROUND(IF(AQ54="7",BI54,0),2)</f>
        <v>0</v>
      </c>
      <c r="AF54" s="55">
        <f t="shared" ref="AF54:AF61" si="38">ROUND(IF(AQ54="2",BH54,0),2)</f>
        <v>0</v>
      </c>
      <c r="AG54" s="55">
        <f t="shared" ref="AG54:AG61" si="39">ROUND(IF(AQ54="2",BI54,0),2)</f>
        <v>0</v>
      </c>
      <c r="AH54" s="55">
        <f t="shared" ref="AH54:AH61" si="40">ROUND(IF(AQ54="0",BJ54,0),2)</f>
        <v>0</v>
      </c>
      <c r="AI54" s="75" t="s">
        <v>103</v>
      </c>
      <c r="AJ54" s="55">
        <f t="shared" ref="AJ54:AJ61" si="41">IF(AN54=0,L54,0)</f>
        <v>0</v>
      </c>
      <c r="AK54" s="55">
        <f t="shared" ref="AK54:AK61" si="42">IF(AN54=12,L54,0)</f>
        <v>0</v>
      </c>
      <c r="AL54" s="55">
        <f t="shared" ref="AL54:AL61" si="43">IF(AN54=21,L54,0)</f>
        <v>0</v>
      </c>
      <c r="AN54" s="55">
        <v>21</v>
      </c>
      <c r="AO54" s="55">
        <f t="shared" ref="AO54:AO61" si="44">H54*0</f>
        <v>0</v>
      </c>
      <c r="AP54" s="55">
        <f t="shared" ref="AP54:AP61" si="45">H54*(1-0)</f>
        <v>0</v>
      </c>
      <c r="AQ54" s="54" t="s">
        <v>152</v>
      </c>
      <c r="AV54" s="55">
        <f t="shared" ref="AV54:AV61" si="46">ROUND(AW54+AX54,2)</f>
        <v>0</v>
      </c>
      <c r="AW54" s="55">
        <f t="shared" ref="AW54:AW61" si="47">ROUND(G54*AO54,2)</f>
        <v>0</v>
      </c>
      <c r="AX54" s="55">
        <f t="shared" ref="AX54:AX61" si="48">ROUND(G54*AP54,2)</f>
        <v>0</v>
      </c>
      <c r="AY54" s="54" t="s">
        <v>288</v>
      </c>
      <c r="AZ54" s="54" t="s">
        <v>289</v>
      </c>
      <c r="BA54" s="75" t="s">
        <v>160</v>
      </c>
      <c r="BC54" s="55">
        <f t="shared" ref="BC54:BC61" si="49">AW54+AX54</f>
        <v>0</v>
      </c>
      <c r="BD54" s="55">
        <f t="shared" ref="BD54:BD61" si="50">H54/(100-BE54)*100</f>
        <v>0</v>
      </c>
      <c r="BE54" s="55">
        <v>0</v>
      </c>
      <c r="BF54" s="55">
        <f t="shared" ref="BF54:BF61" si="51">O54</f>
        <v>0</v>
      </c>
      <c r="BH54" s="55">
        <f t="shared" ref="BH54:BH61" si="52">G54*AO54</f>
        <v>0</v>
      </c>
      <c r="BI54" s="55">
        <f t="shared" ref="BI54:BI61" si="53">G54*AP54</f>
        <v>0</v>
      </c>
      <c r="BJ54" s="55">
        <f t="shared" ref="BJ54:BJ61" si="54">G54*H54</f>
        <v>0</v>
      </c>
      <c r="BK54" s="54" t="s">
        <v>161</v>
      </c>
      <c r="BL54" s="55">
        <v>90</v>
      </c>
      <c r="BW54" s="55">
        <f t="shared" ref="BW54:BW61" si="55">I54</f>
        <v>21</v>
      </c>
      <c r="BX54" s="16" t="s">
        <v>286</v>
      </c>
    </row>
    <row r="55" spans="1:76" ht="35.549999999999997" customHeight="1" x14ac:dyDescent="0.3">
      <c r="A55" s="94" t="s">
        <v>290</v>
      </c>
      <c r="B55" s="94" t="s">
        <v>103</v>
      </c>
      <c r="C55" s="94" t="s">
        <v>285</v>
      </c>
      <c r="D55" s="199" t="s">
        <v>291</v>
      </c>
      <c r="E55" s="199"/>
      <c r="F55" s="94" t="s">
        <v>287</v>
      </c>
      <c r="G55" s="96">
        <v>60</v>
      </c>
      <c r="H55" s="97"/>
      <c r="I55" s="98">
        <v>21</v>
      </c>
      <c r="J55" s="97">
        <f t="shared" si="28"/>
        <v>0</v>
      </c>
      <c r="K55" s="97">
        <f t="shared" si="29"/>
        <v>0</v>
      </c>
      <c r="L55" s="97">
        <f t="shared" si="30"/>
        <v>0</v>
      </c>
      <c r="M55" s="97">
        <f t="shared" si="31"/>
        <v>0</v>
      </c>
      <c r="N55" s="97">
        <v>0</v>
      </c>
      <c r="O55" s="96">
        <f t="shared" si="32"/>
        <v>0</v>
      </c>
      <c r="P55" s="99" t="s">
        <v>156</v>
      </c>
      <c r="Z55" s="55">
        <f t="shared" si="33"/>
        <v>0</v>
      </c>
      <c r="AB55" s="55">
        <f t="shared" si="34"/>
        <v>0</v>
      </c>
      <c r="AC55" s="55">
        <f t="shared" si="35"/>
        <v>0</v>
      </c>
      <c r="AD55" s="55">
        <f t="shared" si="36"/>
        <v>0</v>
      </c>
      <c r="AE55" s="55">
        <f t="shared" si="37"/>
        <v>0</v>
      </c>
      <c r="AF55" s="55">
        <f t="shared" si="38"/>
        <v>0</v>
      </c>
      <c r="AG55" s="55">
        <f t="shared" si="39"/>
        <v>0</v>
      </c>
      <c r="AH55" s="55">
        <f t="shared" si="40"/>
        <v>0</v>
      </c>
      <c r="AI55" s="75" t="s">
        <v>103</v>
      </c>
      <c r="AJ55" s="55">
        <f t="shared" si="41"/>
        <v>0</v>
      </c>
      <c r="AK55" s="55">
        <f t="shared" si="42"/>
        <v>0</v>
      </c>
      <c r="AL55" s="55">
        <f t="shared" si="43"/>
        <v>0</v>
      </c>
      <c r="AN55" s="55">
        <v>21</v>
      </c>
      <c r="AO55" s="55">
        <f t="shared" si="44"/>
        <v>0</v>
      </c>
      <c r="AP55" s="55">
        <f t="shared" si="45"/>
        <v>0</v>
      </c>
      <c r="AQ55" s="54" t="s">
        <v>152</v>
      </c>
      <c r="AV55" s="55">
        <f t="shared" si="46"/>
        <v>0</v>
      </c>
      <c r="AW55" s="55">
        <f t="shared" si="47"/>
        <v>0</v>
      </c>
      <c r="AX55" s="55">
        <f t="shared" si="48"/>
        <v>0</v>
      </c>
      <c r="AY55" s="54" t="s">
        <v>288</v>
      </c>
      <c r="AZ55" s="54" t="s">
        <v>289</v>
      </c>
      <c r="BA55" s="75" t="s">
        <v>160</v>
      </c>
      <c r="BC55" s="55">
        <f t="shared" si="49"/>
        <v>0</v>
      </c>
      <c r="BD55" s="55">
        <f t="shared" si="50"/>
        <v>0</v>
      </c>
      <c r="BE55" s="55">
        <v>0</v>
      </c>
      <c r="BF55" s="55">
        <f t="shared" si="51"/>
        <v>0</v>
      </c>
      <c r="BH55" s="55">
        <f t="shared" si="52"/>
        <v>0</v>
      </c>
      <c r="BI55" s="55">
        <f t="shared" si="53"/>
        <v>0</v>
      </c>
      <c r="BJ55" s="55">
        <f t="shared" si="54"/>
        <v>0</v>
      </c>
      <c r="BK55" s="54" t="s">
        <v>161</v>
      </c>
      <c r="BL55" s="55">
        <v>90</v>
      </c>
      <c r="BW55" s="55">
        <f t="shared" si="55"/>
        <v>21</v>
      </c>
      <c r="BX55" s="16" t="s">
        <v>291</v>
      </c>
    </row>
    <row r="56" spans="1:76" ht="23.85" customHeight="1" x14ac:dyDescent="0.3">
      <c r="A56" s="94" t="s">
        <v>292</v>
      </c>
      <c r="B56" s="94" t="s">
        <v>103</v>
      </c>
      <c r="C56" s="94" t="s">
        <v>285</v>
      </c>
      <c r="D56" s="199" t="s">
        <v>293</v>
      </c>
      <c r="E56" s="199"/>
      <c r="F56" s="94" t="s">
        <v>287</v>
      </c>
      <c r="G56" s="96">
        <v>30</v>
      </c>
      <c r="H56" s="97"/>
      <c r="I56" s="98">
        <v>21</v>
      </c>
      <c r="J56" s="97">
        <f t="shared" si="28"/>
        <v>0</v>
      </c>
      <c r="K56" s="97">
        <f t="shared" si="29"/>
        <v>0</v>
      </c>
      <c r="L56" s="97">
        <f t="shared" si="30"/>
        <v>0</v>
      </c>
      <c r="M56" s="97">
        <f t="shared" si="31"/>
        <v>0</v>
      </c>
      <c r="N56" s="97">
        <v>0</v>
      </c>
      <c r="O56" s="96">
        <f t="shared" si="32"/>
        <v>0</v>
      </c>
      <c r="P56" s="99" t="s">
        <v>156</v>
      </c>
      <c r="Z56" s="55">
        <f t="shared" si="33"/>
        <v>0</v>
      </c>
      <c r="AB56" s="55">
        <f t="shared" si="34"/>
        <v>0</v>
      </c>
      <c r="AC56" s="55">
        <f t="shared" si="35"/>
        <v>0</v>
      </c>
      <c r="AD56" s="55">
        <f t="shared" si="36"/>
        <v>0</v>
      </c>
      <c r="AE56" s="55">
        <f t="shared" si="37"/>
        <v>0</v>
      </c>
      <c r="AF56" s="55">
        <f t="shared" si="38"/>
        <v>0</v>
      </c>
      <c r="AG56" s="55">
        <f t="shared" si="39"/>
        <v>0</v>
      </c>
      <c r="AH56" s="55">
        <f t="shared" si="40"/>
        <v>0</v>
      </c>
      <c r="AI56" s="75" t="s">
        <v>103</v>
      </c>
      <c r="AJ56" s="55">
        <f t="shared" si="41"/>
        <v>0</v>
      </c>
      <c r="AK56" s="55">
        <f t="shared" si="42"/>
        <v>0</v>
      </c>
      <c r="AL56" s="55">
        <f t="shared" si="43"/>
        <v>0</v>
      </c>
      <c r="AN56" s="55">
        <v>21</v>
      </c>
      <c r="AO56" s="55">
        <f t="shared" si="44"/>
        <v>0</v>
      </c>
      <c r="AP56" s="55">
        <f t="shared" si="45"/>
        <v>0</v>
      </c>
      <c r="AQ56" s="54" t="s">
        <v>152</v>
      </c>
      <c r="AV56" s="55">
        <f t="shared" si="46"/>
        <v>0</v>
      </c>
      <c r="AW56" s="55">
        <f t="shared" si="47"/>
        <v>0</v>
      </c>
      <c r="AX56" s="55">
        <f t="shared" si="48"/>
        <v>0</v>
      </c>
      <c r="AY56" s="54" t="s">
        <v>288</v>
      </c>
      <c r="AZ56" s="54" t="s">
        <v>289</v>
      </c>
      <c r="BA56" s="75" t="s">
        <v>160</v>
      </c>
      <c r="BC56" s="55">
        <f t="shared" si="49"/>
        <v>0</v>
      </c>
      <c r="BD56" s="55">
        <f t="shared" si="50"/>
        <v>0</v>
      </c>
      <c r="BE56" s="55">
        <v>0</v>
      </c>
      <c r="BF56" s="55">
        <f t="shared" si="51"/>
        <v>0</v>
      </c>
      <c r="BH56" s="55">
        <f t="shared" si="52"/>
        <v>0</v>
      </c>
      <c r="BI56" s="55">
        <f t="shared" si="53"/>
        <v>0</v>
      </c>
      <c r="BJ56" s="55">
        <f t="shared" si="54"/>
        <v>0</v>
      </c>
      <c r="BK56" s="54" t="s">
        <v>161</v>
      </c>
      <c r="BL56" s="55">
        <v>90</v>
      </c>
      <c r="BW56" s="55">
        <f t="shared" si="55"/>
        <v>21</v>
      </c>
      <c r="BX56" s="16" t="s">
        <v>293</v>
      </c>
    </row>
    <row r="57" spans="1:76" ht="15" customHeight="1" x14ac:dyDescent="0.3">
      <c r="A57" s="94" t="s">
        <v>294</v>
      </c>
      <c r="B57" s="94" t="s">
        <v>103</v>
      </c>
      <c r="C57" s="94" t="s">
        <v>285</v>
      </c>
      <c r="D57" s="199" t="s">
        <v>295</v>
      </c>
      <c r="E57" s="199"/>
      <c r="F57" s="94" t="s">
        <v>287</v>
      </c>
      <c r="G57" s="96">
        <v>30</v>
      </c>
      <c r="H57" s="97"/>
      <c r="I57" s="98">
        <v>21</v>
      </c>
      <c r="J57" s="97">
        <f t="shared" si="28"/>
        <v>0</v>
      </c>
      <c r="K57" s="97">
        <f t="shared" si="29"/>
        <v>0</v>
      </c>
      <c r="L57" s="97">
        <f t="shared" si="30"/>
        <v>0</v>
      </c>
      <c r="M57" s="97">
        <f t="shared" si="31"/>
        <v>0</v>
      </c>
      <c r="N57" s="97">
        <v>0</v>
      </c>
      <c r="O57" s="96">
        <f t="shared" si="32"/>
        <v>0</v>
      </c>
      <c r="P57" s="99" t="s">
        <v>156</v>
      </c>
      <c r="Z57" s="55">
        <f t="shared" si="33"/>
        <v>0</v>
      </c>
      <c r="AB57" s="55">
        <f t="shared" si="34"/>
        <v>0</v>
      </c>
      <c r="AC57" s="55">
        <f t="shared" si="35"/>
        <v>0</v>
      </c>
      <c r="AD57" s="55">
        <f t="shared" si="36"/>
        <v>0</v>
      </c>
      <c r="AE57" s="55">
        <f t="shared" si="37"/>
        <v>0</v>
      </c>
      <c r="AF57" s="55">
        <f t="shared" si="38"/>
        <v>0</v>
      </c>
      <c r="AG57" s="55">
        <f t="shared" si="39"/>
        <v>0</v>
      </c>
      <c r="AH57" s="55">
        <f t="shared" si="40"/>
        <v>0</v>
      </c>
      <c r="AI57" s="75" t="s">
        <v>103</v>
      </c>
      <c r="AJ57" s="55">
        <f t="shared" si="41"/>
        <v>0</v>
      </c>
      <c r="AK57" s="55">
        <f t="shared" si="42"/>
        <v>0</v>
      </c>
      <c r="AL57" s="55">
        <f t="shared" si="43"/>
        <v>0</v>
      </c>
      <c r="AN57" s="55">
        <v>21</v>
      </c>
      <c r="AO57" s="55">
        <f t="shared" si="44"/>
        <v>0</v>
      </c>
      <c r="AP57" s="55">
        <f t="shared" si="45"/>
        <v>0</v>
      </c>
      <c r="AQ57" s="54" t="s">
        <v>152</v>
      </c>
      <c r="AV57" s="55">
        <f t="shared" si="46"/>
        <v>0</v>
      </c>
      <c r="AW57" s="55">
        <f t="shared" si="47"/>
        <v>0</v>
      </c>
      <c r="AX57" s="55">
        <f t="shared" si="48"/>
        <v>0</v>
      </c>
      <c r="AY57" s="54" t="s">
        <v>288</v>
      </c>
      <c r="AZ57" s="54" t="s">
        <v>289</v>
      </c>
      <c r="BA57" s="75" t="s">
        <v>160</v>
      </c>
      <c r="BC57" s="55">
        <f t="shared" si="49"/>
        <v>0</v>
      </c>
      <c r="BD57" s="55">
        <f t="shared" si="50"/>
        <v>0</v>
      </c>
      <c r="BE57" s="55">
        <v>0</v>
      </c>
      <c r="BF57" s="55">
        <f t="shared" si="51"/>
        <v>0</v>
      </c>
      <c r="BH57" s="55">
        <f t="shared" si="52"/>
        <v>0</v>
      </c>
      <c r="BI57" s="55">
        <f t="shared" si="53"/>
        <v>0</v>
      </c>
      <c r="BJ57" s="55">
        <f t="shared" si="54"/>
        <v>0</v>
      </c>
      <c r="BK57" s="54" t="s">
        <v>161</v>
      </c>
      <c r="BL57" s="55">
        <v>90</v>
      </c>
      <c r="BW57" s="55">
        <f t="shared" si="55"/>
        <v>21</v>
      </c>
      <c r="BX57" s="16" t="s">
        <v>295</v>
      </c>
    </row>
    <row r="58" spans="1:76" ht="35.1" customHeight="1" x14ac:dyDescent="0.3">
      <c r="A58" s="94" t="s">
        <v>296</v>
      </c>
      <c r="B58" s="94" t="s">
        <v>103</v>
      </c>
      <c r="C58" s="94" t="s">
        <v>297</v>
      </c>
      <c r="D58" s="199" t="s">
        <v>298</v>
      </c>
      <c r="E58" s="199"/>
      <c r="F58" s="94" t="s">
        <v>287</v>
      </c>
      <c r="G58" s="96">
        <v>55</v>
      </c>
      <c r="H58" s="97"/>
      <c r="I58" s="98">
        <v>21</v>
      </c>
      <c r="J58" s="97">
        <f t="shared" si="28"/>
        <v>0</v>
      </c>
      <c r="K58" s="97">
        <f t="shared" si="29"/>
        <v>0</v>
      </c>
      <c r="L58" s="97">
        <f t="shared" si="30"/>
        <v>0</v>
      </c>
      <c r="M58" s="97">
        <f t="shared" si="31"/>
        <v>0</v>
      </c>
      <c r="N58" s="97">
        <v>0</v>
      </c>
      <c r="O58" s="96">
        <f t="shared" si="32"/>
        <v>0</v>
      </c>
      <c r="P58" s="99" t="s">
        <v>156</v>
      </c>
      <c r="Z58" s="55">
        <f t="shared" si="33"/>
        <v>0</v>
      </c>
      <c r="AB58" s="55">
        <f t="shared" si="34"/>
        <v>0</v>
      </c>
      <c r="AC58" s="55">
        <f t="shared" si="35"/>
        <v>0</v>
      </c>
      <c r="AD58" s="55">
        <f t="shared" si="36"/>
        <v>0</v>
      </c>
      <c r="AE58" s="55">
        <f t="shared" si="37"/>
        <v>0</v>
      </c>
      <c r="AF58" s="55">
        <f t="shared" si="38"/>
        <v>0</v>
      </c>
      <c r="AG58" s="55">
        <f t="shared" si="39"/>
        <v>0</v>
      </c>
      <c r="AH58" s="55">
        <f t="shared" si="40"/>
        <v>0</v>
      </c>
      <c r="AI58" s="75" t="s">
        <v>103</v>
      </c>
      <c r="AJ58" s="55">
        <f t="shared" si="41"/>
        <v>0</v>
      </c>
      <c r="AK58" s="55">
        <f t="shared" si="42"/>
        <v>0</v>
      </c>
      <c r="AL58" s="55">
        <f t="shared" si="43"/>
        <v>0</v>
      </c>
      <c r="AN58" s="55">
        <v>21</v>
      </c>
      <c r="AO58" s="55">
        <f t="shared" si="44"/>
        <v>0</v>
      </c>
      <c r="AP58" s="55">
        <f t="shared" si="45"/>
        <v>0</v>
      </c>
      <c r="AQ58" s="54" t="s">
        <v>152</v>
      </c>
      <c r="AV58" s="55">
        <f t="shared" si="46"/>
        <v>0</v>
      </c>
      <c r="AW58" s="55">
        <f t="shared" si="47"/>
        <v>0</v>
      </c>
      <c r="AX58" s="55">
        <f t="shared" si="48"/>
        <v>0</v>
      </c>
      <c r="AY58" s="54" t="s">
        <v>288</v>
      </c>
      <c r="AZ58" s="54" t="s">
        <v>289</v>
      </c>
      <c r="BA58" s="75" t="s">
        <v>160</v>
      </c>
      <c r="BC58" s="55">
        <f t="shared" si="49"/>
        <v>0</v>
      </c>
      <c r="BD58" s="55">
        <f t="shared" si="50"/>
        <v>0</v>
      </c>
      <c r="BE58" s="55">
        <v>0</v>
      </c>
      <c r="BF58" s="55">
        <f t="shared" si="51"/>
        <v>0</v>
      </c>
      <c r="BH58" s="55">
        <f t="shared" si="52"/>
        <v>0</v>
      </c>
      <c r="BI58" s="55">
        <f t="shared" si="53"/>
        <v>0</v>
      </c>
      <c r="BJ58" s="55">
        <f t="shared" si="54"/>
        <v>0</v>
      </c>
      <c r="BK58" s="54" t="s">
        <v>161</v>
      </c>
      <c r="BL58" s="55">
        <v>90</v>
      </c>
      <c r="BW58" s="55">
        <f t="shared" si="55"/>
        <v>21</v>
      </c>
      <c r="BX58" s="16" t="s">
        <v>298</v>
      </c>
    </row>
    <row r="59" spans="1:76" ht="35.1" customHeight="1" x14ac:dyDescent="0.3">
      <c r="A59" s="94" t="s">
        <v>299</v>
      </c>
      <c r="B59" s="94" t="s">
        <v>103</v>
      </c>
      <c r="C59" s="94" t="s">
        <v>297</v>
      </c>
      <c r="D59" s="199" t="s">
        <v>300</v>
      </c>
      <c r="E59" s="199"/>
      <c r="F59" s="94" t="s">
        <v>287</v>
      </c>
      <c r="G59" s="96">
        <v>40</v>
      </c>
      <c r="H59" s="97"/>
      <c r="I59" s="98">
        <v>21</v>
      </c>
      <c r="J59" s="97">
        <f t="shared" si="28"/>
        <v>0</v>
      </c>
      <c r="K59" s="97">
        <f t="shared" si="29"/>
        <v>0</v>
      </c>
      <c r="L59" s="97">
        <f t="shared" si="30"/>
        <v>0</v>
      </c>
      <c r="M59" s="97">
        <f t="shared" si="31"/>
        <v>0</v>
      </c>
      <c r="N59" s="97">
        <v>0</v>
      </c>
      <c r="O59" s="96">
        <f t="shared" si="32"/>
        <v>0</v>
      </c>
      <c r="P59" s="99" t="s">
        <v>156</v>
      </c>
      <c r="Z59" s="55">
        <f t="shared" si="33"/>
        <v>0</v>
      </c>
      <c r="AB59" s="55">
        <f t="shared" si="34"/>
        <v>0</v>
      </c>
      <c r="AC59" s="55">
        <f t="shared" si="35"/>
        <v>0</v>
      </c>
      <c r="AD59" s="55">
        <f t="shared" si="36"/>
        <v>0</v>
      </c>
      <c r="AE59" s="55">
        <f t="shared" si="37"/>
        <v>0</v>
      </c>
      <c r="AF59" s="55">
        <f t="shared" si="38"/>
        <v>0</v>
      </c>
      <c r="AG59" s="55">
        <f t="shared" si="39"/>
        <v>0</v>
      </c>
      <c r="AH59" s="55">
        <f t="shared" si="40"/>
        <v>0</v>
      </c>
      <c r="AI59" s="75" t="s">
        <v>103</v>
      </c>
      <c r="AJ59" s="55">
        <f t="shared" si="41"/>
        <v>0</v>
      </c>
      <c r="AK59" s="55">
        <f t="shared" si="42"/>
        <v>0</v>
      </c>
      <c r="AL59" s="55">
        <f t="shared" si="43"/>
        <v>0</v>
      </c>
      <c r="AN59" s="55">
        <v>21</v>
      </c>
      <c r="AO59" s="55">
        <f t="shared" si="44"/>
        <v>0</v>
      </c>
      <c r="AP59" s="55">
        <f t="shared" si="45"/>
        <v>0</v>
      </c>
      <c r="AQ59" s="54" t="s">
        <v>152</v>
      </c>
      <c r="AV59" s="55">
        <f t="shared" si="46"/>
        <v>0</v>
      </c>
      <c r="AW59" s="55">
        <f t="shared" si="47"/>
        <v>0</v>
      </c>
      <c r="AX59" s="55">
        <f t="shared" si="48"/>
        <v>0</v>
      </c>
      <c r="AY59" s="54" t="s">
        <v>288</v>
      </c>
      <c r="AZ59" s="54" t="s">
        <v>289</v>
      </c>
      <c r="BA59" s="75" t="s">
        <v>160</v>
      </c>
      <c r="BC59" s="55">
        <f t="shared" si="49"/>
        <v>0</v>
      </c>
      <c r="BD59" s="55">
        <f t="shared" si="50"/>
        <v>0</v>
      </c>
      <c r="BE59" s="55">
        <v>0</v>
      </c>
      <c r="BF59" s="55">
        <f t="shared" si="51"/>
        <v>0</v>
      </c>
      <c r="BH59" s="55">
        <f t="shared" si="52"/>
        <v>0</v>
      </c>
      <c r="BI59" s="55">
        <f t="shared" si="53"/>
        <v>0</v>
      </c>
      <c r="BJ59" s="55">
        <f t="shared" si="54"/>
        <v>0</v>
      </c>
      <c r="BK59" s="54" t="s">
        <v>161</v>
      </c>
      <c r="BL59" s="55">
        <v>90</v>
      </c>
      <c r="BW59" s="55">
        <f t="shared" si="55"/>
        <v>21</v>
      </c>
      <c r="BX59" s="16" t="s">
        <v>300</v>
      </c>
    </row>
    <row r="60" spans="1:76" ht="23.85" customHeight="1" x14ac:dyDescent="0.3">
      <c r="A60" s="94" t="s">
        <v>301</v>
      </c>
      <c r="B60" s="94" t="s">
        <v>103</v>
      </c>
      <c r="C60" s="94" t="s">
        <v>285</v>
      </c>
      <c r="D60" s="199" t="s">
        <v>302</v>
      </c>
      <c r="E60" s="199"/>
      <c r="F60" s="94" t="s">
        <v>287</v>
      </c>
      <c r="G60" s="96">
        <v>30</v>
      </c>
      <c r="H60" s="97"/>
      <c r="I60" s="98">
        <v>21</v>
      </c>
      <c r="J60" s="97">
        <f t="shared" si="28"/>
        <v>0</v>
      </c>
      <c r="K60" s="97">
        <f t="shared" si="29"/>
        <v>0</v>
      </c>
      <c r="L60" s="97">
        <f t="shared" si="30"/>
        <v>0</v>
      </c>
      <c r="M60" s="97">
        <f t="shared" si="31"/>
        <v>0</v>
      </c>
      <c r="N60" s="97">
        <v>0</v>
      </c>
      <c r="O60" s="96">
        <f t="shared" si="32"/>
        <v>0</v>
      </c>
      <c r="P60" s="99" t="s">
        <v>156</v>
      </c>
      <c r="Z60" s="55">
        <f t="shared" si="33"/>
        <v>0</v>
      </c>
      <c r="AB60" s="55">
        <f t="shared" si="34"/>
        <v>0</v>
      </c>
      <c r="AC60" s="55">
        <f t="shared" si="35"/>
        <v>0</v>
      </c>
      <c r="AD60" s="55">
        <f t="shared" si="36"/>
        <v>0</v>
      </c>
      <c r="AE60" s="55">
        <f t="shared" si="37"/>
        <v>0</v>
      </c>
      <c r="AF60" s="55">
        <f t="shared" si="38"/>
        <v>0</v>
      </c>
      <c r="AG60" s="55">
        <f t="shared" si="39"/>
        <v>0</v>
      </c>
      <c r="AH60" s="55">
        <f t="shared" si="40"/>
        <v>0</v>
      </c>
      <c r="AI60" s="75" t="s">
        <v>103</v>
      </c>
      <c r="AJ60" s="55">
        <f t="shared" si="41"/>
        <v>0</v>
      </c>
      <c r="AK60" s="55">
        <f t="shared" si="42"/>
        <v>0</v>
      </c>
      <c r="AL60" s="55">
        <f t="shared" si="43"/>
        <v>0</v>
      </c>
      <c r="AN60" s="55">
        <v>21</v>
      </c>
      <c r="AO60" s="55">
        <f t="shared" si="44"/>
        <v>0</v>
      </c>
      <c r="AP60" s="55">
        <f t="shared" si="45"/>
        <v>0</v>
      </c>
      <c r="AQ60" s="54" t="s">
        <v>152</v>
      </c>
      <c r="AV60" s="55">
        <f t="shared" si="46"/>
        <v>0</v>
      </c>
      <c r="AW60" s="55">
        <f t="shared" si="47"/>
        <v>0</v>
      </c>
      <c r="AX60" s="55">
        <f t="shared" si="48"/>
        <v>0</v>
      </c>
      <c r="AY60" s="54" t="s">
        <v>288</v>
      </c>
      <c r="AZ60" s="54" t="s">
        <v>289</v>
      </c>
      <c r="BA60" s="75" t="s">
        <v>160</v>
      </c>
      <c r="BC60" s="55">
        <f t="shared" si="49"/>
        <v>0</v>
      </c>
      <c r="BD60" s="55">
        <f t="shared" si="50"/>
        <v>0</v>
      </c>
      <c r="BE60" s="55">
        <v>0</v>
      </c>
      <c r="BF60" s="55">
        <f t="shared" si="51"/>
        <v>0</v>
      </c>
      <c r="BH60" s="55">
        <f t="shared" si="52"/>
        <v>0</v>
      </c>
      <c r="BI60" s="55">
        <f t="shared" si="53"/>
        <v>0</v>
      </c>
      <c r="BJ60" s="55">
        <f t="shared" si="54"/>
        <v>0</v>
      </c>
      <c r="BK60" s="54" t="s">
        <v>161</v>
      </c>
      <c r="BL60" s="55">
        <v>90</v>
      </c>
      <c r="BW60" s="55">
        <f t="shared" si="55"/>
        <v>21</v>
      </c>
      <c r="BX60" s="16" t="s">
        <v>302</v>
      </c>
    </row>
    <row r="61" spans="1:76" ht="35.1" customHeight="1" x14ac:dyDescent="0.3">
      <c r="A61" s="94" t="s">
        <v>303</v>
      </c>
      <c r="B61" s="94" t="s">
        <v>103</v>
      </c>
      <c r="C61" s="94" t="s">
        <v>285</v>
      </c>
      <c r="D61" s="199" t="s">
        <v>304</v>
      </c>
      <c r="E61" s="199"/>
      <c r="F61" s="94" t="s">
        <v>287</v>
      </c>
      <c r="G61" s="96">
        <v>10</v>
      </c>
      <c r="H61" s="97"/>
      <c r="I61" s="98">
        <v>21</v>
      </c>
      <c r="J61" s="97">
        <f t="shared" si="28"/>
        <v>0</v>
      </c>
      <c r="K61" s="97">
        <f t="shared" si="29"/>
        <v>0</v>
      </c>
      <c r="L61" s="97">
        <f t="shared" si="30"/>
        <v>0</v>
      </c>
      <c r="M61" s="97">
        <f t="shared" si="31"/>
        <v>0</v>
      </c>
      <c r="N61" s="97">
        <v>0</v>
      </c>
      <c r="O61" s="96">
        <f t="shared" si="32"/>
        <v>0</v>
      </c>
      <c r="P61" s="99" t="s">
        <v>156</v>
      </c>
      <c r="Z61" s="55">
        <f t="shared" si="33"/>
        <v>0</v>
      </c>
      <c r="AB61" s="55">
        <f t="shared" si="34"/>
        <v>0</v>
      </c>
      <c r="AC61" s="55">
        <f t="shared" si="35"/>
        <v>0</v>
      </c>
      <c r="AD61" s="55">
        <f t="shared" si="36"/>
        <v>0</v>
      </c>
      <c r="AE61" s="55">
        <f t="shared" si="37"/>
        <v>0</v>
      </c>
      <c r="AF61" s="55">
        <f t="shared" si="38"/>
        <v>0</v>
      </c>
      <c r="AG61" s="55">
        <f t="shared" si="39"/>
        <v>0</v>
      </c>
      <c r="AH61" s="55">
        <f t="shared" si="40"/>
        <v>0</v>
      </c>
      <c r="AI61" s="75" t="s">
        <v>103</v>
      </c>
      <c r="AJ61" s="55">
        <f t="shared" si="41"/>
        <v>0</v>
      </c>
      <c r="AK61" s="55">
        <f t="shared" si="42"/>
        <v>0</v>
      </c>
      <c r="AL61" s="55">
        <f t="shared" si="43"/>
        <v>0</v>
      </c>
      <c r="AN61" s="55">
        <v>21</v>
      </c>
      <c r="AO61" s="55">
        <f t="shared" si="44"/>
        <v>0</v>
      </c>
      <c r="AP61" s="55">
        <f t="shared" si="45"/>
        <v>0</v>
      </c>
      <c r="AQ61" s="54" t="s">
        <v>152</v>
      </c>
      <c r="AV61" s="55">
        <f t="shared" si="46"/>
        <v>0</v>
      </c>
      <c r="AW61" s="55">
        <f t="shared" si="47"/>
        <v>0</v>
      </c>
      <c r="AX61" s="55">
        <f t="shared" si="48"/>
        <v>0</v>
      </c>
      <c r="AY61" s="54" t="s">
        <v>288</v>
      </c>
      <c r="AZ61" s="54" t="s">
        <v>289</v>
      </c>
      <c r="BA61" s="75" t="s">
        <v>160</v>
      </c>
      <c r="BC61" s="55">
        <f t="shared" si="49"/>
        <v>0</v>
      </c>
      <c r="BD61" s="55">
        <f t="shared" si="50"/>
        <v>0</v>
      </c>
      <c r="BE61" s="55">
        <v>0</v>
      </c>
      <c r="BF61" s="55">
        <f t="shared" si="51"/>
        <v>0</v>
      </c>
      <c r="BH61" s="55">
        <f t="shared" si="52"/>
        <v>0</v>
      </c>
      <c r="BI61" s="55">
        <f t="shared" si="53"/>
        <v>0</v>
      </c>
      <c r="BJ61" s="55">
        <f t="shared" si="54"/>
        <v>0</v>
      </c>
      <c r="BK61" s="54" t="s">
        <v>161</v>
      </c>
      <c r="BL61" s="55">
        <v>90</v>
      </c>
      <c r="BW61" s="55">
        <f t="shared" si="55"/>
        <v>21</v>
      </c>
      <c r="BX61" s="16" t="s">
        <v>304</v>
      </c>
    </row>
    <row r="62" spans="1:76" ht="15" customHeight="1" x14ac:dyDescent="0.3">
      <c r="A62" s="88"/>
      <c r="B62" s="89" t="s">
        <v>103</v>
      </c>
      <c r="C62" s="89" t="s">
        <v>305</v>
      </c>
      <c r="D62" s="198" t="s">
        <v>306</v>
      </c>
      <c r="E62" s="198"/>
      <c r="F62" s="88" t="s">
        <v>96</v>
      </c>
      <c r="G62" s="90" t="s">
        <v>96</v>
      </c>
      <c r="H62" s="88"/>
      <c r="I62" s="88" t="s">
        <v>96</v>
      </c>
      <c r="J62" s="91">
        <f>SUM(J63:J67)</f>
        <v>0</v>
      </c>
      <c r="K62" s="91">
        <f>SUM(K63:K67)</f>
        <v>0</v>
      </c>
      <c r="L62" s="91">
        <f>SUM(L63:L67)</f>
        <v>0</v>
      </c>
      <c r="M62" s="91">
        <f>SUM(M63:M67)</f>
        <v>0</v>
      </c>
      <c r="N62" s="92"/>
      <c r="O62" s="93">
        <f>SUM(O63:O67)</f>
        <v>0.71366400000000008</v>
      </c>
      <c r="P62" s="92"/>
      <c r="AI62" s="75" t="s">
        <v>103</v>
      </c>
      <c r="AS62" s="68">
        <f>SUM(AJ63:AJ67)</f>
        <v>0</v>
      </c>
      <c r="AT62" s="68">
        <f>SUM(AK63:AK67)</f>
        <v>0</v>
      </c>
      <c r="AU62" s="68">
        <f>SUM(AL63:AL67)</f>
        <v>0</v>
      </c>
    </row>
    <row r="63" spans="1:76" ht="15" customHeight="1" x14ac:dyDescent="0.3">
      <c r="A63" s="94" t="s">
        <v>307</v>
      </c>
      <c r="B63" s="94" t="s">
        <v>103</v>
      </c>
      <c r="C63" s="94" t="s">
        <v>308</v>
      </c>
      <c r="D63" s="199" t="s">
        <v>309</v>
      </c>
      <c r="E63" s="199"/>
      <c r="F63" s="94" t="s">
        <v>176</v>
      </c>
      <c r="G63" s="96">
        <v>50.4</v>
      </c>
      <c r="H63" s="97"/>
      <c r="I63" s="98">
        <v>21</v>
      </c>
      <c r="J63" s="97">
        <f>ROUND(G63*AO63,2)</f>
        <v>0</v>
      </c>
      <c r="K63" s="97">
        <f>ROUND(G63*AP63,2)</f>
        <v>0</v>
      </c>
      <c r="L63" s="97">
        <f>ROUND(G63*H63,2)</f>
        <v>0</v>
      </c>
      <c r="M63" s="97">
        <f>L63*(1+BW63/100)</f>
        <v>0</v>
      </c>
      <c r="N63" s="97">
        <v>3.3E-4</v>
      </c>
      <c r="O63" s="96">
        <f>G63*N63</f>
        <v>1.6632000000000001E-2</v>
      </c>
      <c r="P63" s="99" t="s">
        <v>156</v>
      </c>
      <c r="Z63" s="55">
        <f>ROUND(IF(AQ63="5",BJ63,0),2)</f>
        <v>0</v>
      </c>
      <c r="AB63" s="55">
        <f>ROUND(IF(AQ63="1",BH63,0),2)</f>
        <v>0</v>
      </c>
      <c r="AC63" s="55">
        <f>ROUND(IF(AQ63="1",BI63,0),2)</f>
        <v>0</v>
      </c>
      <c r="AD63" s="55">
        <f>ROUND(IF(AQ63="7",BH63,0),2)</f>
        <v>0</v>
      </c>
      <c r="AE63" s="55">
        <f>ROUND(IF(AQ63="7",BI63,0),2)</f>
        <v>0</v>
      </c>
      <c r="AF63" s="55">
        <f>ROUND(IF(AQ63="2",BH63,0),2)</f>
        <v>0</v>
      </c>
      <c r="AG63" s="55">
        <f>ROUND(IF(AQ63="2",BI63,0),2)</f>
        <v>0</v>
      </c>
      <c r="AH63" s="55">
        <f>ROUND(IF(AQ63="0",BJ63,0),2)</f>
        <v>0</v>
      </c>
      <c r="AI63" s="75" t="s">
        <v>103</v>
      </c>
      <c r="AJ63" s="55">
        <f>IF(AN63=0,L63,0)</f>
        <v>0</v>
      </c>
      <c r="AK63" s="55">
        <f>IF(AN63=12,L63,0)</f>
        <v>0</v>
      </c>
      <c r="AL63" s="55">
        <f>IF(AN63=21,L63,0)</f>
        <v>0</v>
      </c>
      <c r="AN63" s="55">
        <v>21</v>
      </c>
      <c r="AO63" s="55">
        <f>H63*0.540198116</f>
        <v>0</v>
      </c>
      <c r="AP63" s="55">
        <f>H63*(1-0.540198116)</f>
        <v>0</v>
      </c>
      <c r="AQ63" s="54" t="s">
        <v>152</v>
      </c>
      <c r="AV63" s="55">
        <f>ROUND(AW63+AX63,2)</f>
        <v>0</v>
      </c>
      <c r="AW63" s="55">
        <f>ROUND(G63*AO63,2)</f>
        <v>0</v>
      </c>
      <c r="AX63" s="55">
        <f>ROUND(G63*AP63,2)</f>
        <v>0</v>
      </c>
      <c r="AY63" s="54" t="s">
        <v>310</v>
      </c>
      <c r="AZ63" s="54" t="s">
        <v>289</v>
      </c>
      <c r="BA63" s="75" t="s">
        <v>160</v>
      </c>
      <c r="BC63" s="55">
        <f>AW63+AX63</f>
        <v>0</v>
      </c>
      <c r="BD63" s="55">
        <f>H63/(100-BE63)*100</f>
        <v>0</v>
      </c>
      <c r="BE63" s="55">
        <v>0</v>
      </c>
      <c r="BF63" s="55">
        <f>O63</f>
        <v>1.6632000000000001E-2</v>
      </c>
      <c r="BH63" s="55">
        <f>G63*AO63</f>
        <v>0</v>
      </c>
      <c r="BI63" s="55">
        <f>G63*AP63</f>
        <v>0</v>
      </c>
      <c r="BJ63" s="55">
        <f>G63*H63</f>
        <v>0</v>
      </c>
      <c r="BK63" s="54" t="s">
        <v>161</v>
      </c>
      <c r="BL63" s="55">
        <v>94</v>
      </c>
      <c r="BW63" s="55">
        <f>I63</f>
        <v>21</v>
      </c>
      <c r="BX63" s="16" t="s">
        <v>309</v>
      </c>
    </row>
    <row r="64" spans="1:76" ht="15" customHeight="1" x14ac:dyDescent="0.3">
      <c r="A64" s="94" t="s">
        <v>311</v>
      </c>
      <c r="B64" s="94" t="s">
        <v>103</v>
      </c>
      <c r="C64" s="94" t="s">
        <v>312</v>
      </c>
      <c r="D64" s="199" t="s">
        <v>313</v>
      </c>
      <c r="E64" s="199"/>
      <c r="F64" s="94" t="s">
        <v>155</v>
      </c>
      <c r="G64" s="96">
        <v>50.4</v>
      </c>
      <c r="H64" s="97"/>
      <c r="I64" s="98">
        <v>21</v>
      </c>
      <c r="J64" s="97">
        <f>ROUND(G64*AO64,2)</f>
        <v>0</v>
      </c>
      <c r="K64" s="97">
        <f>ROUND(G64*AP64,2)</f>
        <v>0</v>
      </c>
      <c r="L64" s="97">
        <f>ROUND(G64*H64,2)</f>
        <v>0</v>
      </c>
      <c r="M64" s="97">
        <f>L64*(1+BW64/100)</f>
        <v>0</v>
      </c>
      <c r="N64" s="97">
        <v>5.9999999999999995E-4</v>
      </c>
      <c r="O64" s="96">
        <f>G64*N64</f>
        <v>3.0239999999999996E-2</v>
      </c>
      <c r="P64" s="99" t="s">
        <v>156</v>
      </c>
      <c r="Z64" s="55">
        <f>ROUND(IF(AQ64="5",BJ64,0),2)</f>
        <v>0</v>
      </c>
      <c r="AB64" s="55">
        <f>ROUND(IF(AQ64="1",BH64,0),2)</f>
        <v>0</v>
      </c>
      <c r="AC64" s="55">
        <f>ROUND(IF(AQ64="1",BI64,0),2)</f>
        <v>0</v>
      </c>
      <c r="AD64" s="55">
        <f>ROUND(IF(AQ64="7",BH64,0),2)</f>
        <v>0</v>
      </c>
      <c r="AE64" s="55">
        <f>ROUND(IF(AQ64="7",BI64,0),2)</f>
        <v>0</v>
      </c>
      <c r="AF64" s="55">
        <f>ROUND(IF(AQ64="2",BH64,0),2)</f>
        <v>0</v>
      </c>
      <c r="AG64" s="55">
        <f>ROUND(IF(AQ64="2",BI64,0),2)</f>
        <v>0</v>
      </c>
      <c r="AH64" s="55">
        <f>ROUND(IF(AQ64="0",BJ64,0),2)</f>
        <v>0</v>
      </c>
      <c r="AI64" s="75" t="s">
        <v>103</v>
      </c>
      <c r="AJ64" s="55">
        <f>IF(AN64=0,L64,0)</f>
        <v>0</v>
      </c>
      <c r="AK64" s="55">
        <f>IF(AN64=12,L64,0)</f>
        <v>0</v>
      </c>
      <c r="AL64" s="55">
        <f>IF(AN64=21,L64,0)</f>
        <v>0</v>
      </c>
      <c r="AN64" s="55">
        <v>21</v>
      </c>
      <c r="AO64" s="55">
        <f>H64*0</f>
        <v>0</v>
      </c>
      <c r="AP64" s="55">
        <f>H64*(1-0)</f>
        <v>0</v>
      </c>
      <c r="AQ64" s="54" t="s">
        <v>152</v>
      </c>
      <c r="AV64" s="55">
        <f>ROUND(AW64+AX64,2)</f>
        <v>0</v>
      </c>
      <c r="AW64" s="55">
        <f>ROUND(G64*AO64,2)</f>
        <v>0</v>
      </c>
      <c r="AX64" s="55">
        <f>ROUND(G64*AP64,2)</f>
        <v>0</v>
      </c>
      <c r="AY64" s="54" t="s">
        <v>310</v>
      </c>
      <c r="AZ64" s="54" t="s">
        <v>289</v>
      </c>
      <c r="BA64" s="75" t="s">
        <v>160</v>
      </c>
      <c r="BC64" s="55">
        <f>AW64+AX64</f>
        <v>0</v>
      </c>
      <c r="BD64" s="55">
        <f>H64/(100-BE64)*100</f>
        <v>0</v>
      </c>
      <c r="BE64" s="55">
        <v>0</v>
      </c>
      <c r="BF64" s="55">
        <f>O64</f>
        <v>3.0239999999999996E-2</v>
      </c>
      <c r="BH64" s="55">
        <f>G64*AO64</f>
        <v>0</v>
      </c>
      <c r="BI64" s="55">
        <f>G64*AP64</f>
        <v>0</v>
      </c>
      <c r="BJ64" s="55">
        <f>G64*H64</f>
        <v>0</v>
      </c>
      <c r="BK64" s="54" t="s">
        <v>161</v>
      </c>
      <c r="BL64" s="55">
        <v>94</v>
      </c>
      <c r="BW64" s="55">
        <f>I64</f>
        <v>21</v>
      </c>
      <c r="BX64" s="16" t="s">
        <v>313</v>
      </c>
    </row>
    <row r="65" spans="1:76" ht="35.1" customHeight="1" x14ac:dyDescent="0.3">
      <c r="A65" s="94" t="s">
        <v>314</v>
      </c>
      <c r="B65" s="94" t="s">
        <v>103</v>
      </c>
      <c r="C65" s="94" t="s">
        <v>315</v>
      </c>
      <c r="D65" s="199" t="s">
        <v>316</v>
      </c>
      <c r="E65" s="199"/>
      <c r="F65" s="94" t="s">
        <v>155</v>
      </c>
      <c r="G65" s="96">
        <v>50.4</v>
      </c>
      <c r="H65" s="97"/>
      <c r="I65" s="98">
        <v>21</v>
      </c>
      <c r="J65" s="97">
        <f>ROUND(G65*AO65,2)</f>
        <v>0</v>
      </c>
      <c r="K65" s="97">
        <f>ROUND(G65*AP65,2)</f>
        <v>0</v>
      </c>
      <c r="L65" s="97">
        <f>ROUND(G65*H65,2)</f>
        <v>0</v>
      </c>
      <c r="M65" s="97">
        <f>L65*(1+BW65/100)</f>
        <v>0</v>
      </c>
      <c r="N65" s="97">
        <v>1.323E-2</v>
      </c>
      <c r="O65" s="96">
        <f>G65*N65</f>
        <v>0.66679200000000005</v>
      </c>
      <c r="P65" s="99" t="s">
        <v>156</v>
      </c>
      <c r="Z65" s="55">
        <f>ROUND(IF(AQ65="5",BJ65,0),2)</f>
        <v>0</v>
      </c>
      <c r="AB65" s="55">
        <f>ROUND(IF(AQ65="1",BH65,0),2)</f>
        <v>0</v>
      </c>
      <c r="AC65" s="55">
        <f>ROUND(IF(AQ65="1",BI65,0),2)</f>
        <v>0</v>
      </c>
      <c r="AD65" s="55">
        <f>ROUND(IF(AQ65="7",BH65,0),2)</f>
        <v>0</v>
      </c>
      <c r="AE65" s="55">
        <f>ROUND(IF(AQ65="7",BI65,0),2)</f>
        <v>0</v>
      </c>
      <c r="AF65" s="55">
        <f>ROUND(IF(AQ65="2",BH65,0),2)</f>
        <v>0</v>
      </c>
      <c r="AG65" s="55">
        <f>ROUND(IF(AQ65="2",BI65,0),2)</f>
        <v>0</v>
      </c>
      <c r="AH65" s="55">
        <f>ROUND(IF(AQ65="0",BJ65,0),2)</f>
        <v>0</v>
      </c>
      <c r="AI65" s="75" t="s">
        <v>103</v>
      </c>
      <c r="AJ65" s="55">
        <f>IF(AN65=0,L65,0)</f>
        <v>0</v>
      </c>
      <c r="AK65" s="55">
        <f>IF(AN65=12,L65,0)</f>
        <v>0</v>
      </c>
      <c r="AL65" s="55">
        <f>IF(AN65=21,L65,0)</f>
        <v>0</v>
      </c>
      <c r="AN65" s="55">
        <v>21</v>
      </c>
      <c r="AO65" s="55">
        <f>H65*0</f>
        <v>0</v>
      </c>
      <c r="AP65" s="55">
        <f>H65*(1-0)</f>
        <v>0</v>
      </c>
      <c r="AQ65" s="54" t="s">
        <v>152</v>
      </c>
      <c r="AV65" s="55">
        <f>ROUND(AW65+AX65,2)</f>
        <v>0</v>
      </c>
      <c r="AW65" s="55">
        <f>ROUND(G65*AO65,2)</f>
        <v>0</v>
      </c>
      <c r="AX65" s="55">
        <f>ROUND(G65*AP65,2)</f>
        <v>0</v>
      </c>
      <c r="AY65" s="54" t="s">
        <v>310</v>
      </c>
      <c r="AZ65" s="54" t="s">
        <v>289</v>
      </c>
      <c r="BA65" s="75" t="s">
        <v>160</v>
      </c>
      <c r="BC65" s="55">
        <f>AW65+AX65</f>
        <v>0</v>
      </c>
      <c r="BD65" s="55">
        <f>H65/(100-BE65)*100</f>
        <v>0</v>
      </c>
      <c r="BE65" s="55">
        <v>0</v>
      </c>
      <c r="BF65" s="55">
        <f>O65</f>
        <v>0.66679200000000005</v>
      </c>
      <c r="BH65" s="55">
        <f>G65*AO65</f>
        <v>0</v>
      </c>
      <c r="BI65" s="55">
        <f>G65*AP65</f>
        <v>0</v>
      </c>
      <c r="BJ65" s="55">
        <f>G65*H65</f>
        <v>0</v>
      </c>
      <c r="BK65" s="54" t="s">
        <v>161</v>
      </c>
      <c r="BL65" s="55">
        <v>94</v>
      </c>
      <c r="BW65" s="55">
        <f>I65</f>
        <v>21</v>
      </c>
      <c r="BX65" s="16" t="s">
        <v>316</v>
      </c>
    </row>
    <row r="66" spans="1:76" ht="15" customHeight="1" x14ac:dyDescent="0.3">
      <c r="A66" s="94" t="s">
        <v>317</v>
      </c>
      <c r="B66" s="94" t="s">
        <v>103</v>
      </c>
      <c r="C66" s="94" t="s">
        <v>318</v>
      </c>
      <c r="D66" s="199" t="s">
        <v>319</v>
      </c>
      <c r="E66" s="199"/>
      <c r="F66" s="94" t="s">
        <v>155</v>
      </c>
      <c r="G66" s="96">
        <v>50.4</v>
      </c>
      <c r="H66" s="97"/>
      <c r="I66" s="98">
        <v>21</v>
      </c>
      <c r="J66" s="97">
        <f>ROUND(G66*AO66,2)</f>
        <v>0</v>
      </c>
      <c r="K66" s="97">
        <f>ROUND(G66*AP66,2)</f>
        <v>0</v>
      </c>
      <c r="L66" s="97">
        <f>ROUND(G66*H66,2)</f>
        <v>0</v>
      </c>
      <c r="M66" s="97">
        <f>L66*(1+BW66/100)</f>
        <v>0</v>
      </c>
      <c r="N66" s="97">
        <v>0</v>
      </c>
      <c r="O66" s="96">
        <f>G66*N66</f>
        <v>0</v>
      </c>
      <c r="P66" s="99" t="s">
        <v>156</v>
      </c>
      <c r="Z66" s="55">
        <f>ROUND(IF(AQ66="5",BJ66,0),2)</f>
        <v>0</v>
      </c>
      <c r="AB66" s="55">
        <f>ROUND(IF(AQ66="1",BH66,0),2)</f>
        <v>0</v>
      </c>
      <c r="AC66" s="55">
        <f>ROUND(IF(AQ66="1",BI66,0),2)</f>
        <v>0</v>
      </c>
      <c r="AD66" s="55">
        <f>ROUND(IF(AQ66="7",BH66,0),2)</f>
        <v>0</v>
      </c>
      <c r="AE66" s="55">
        <f>ROUND(IF(AQ66="7",BI66,0),2)</f>
        <v>0</v>
      </c>
      <c r="AF66" s="55">
        <f>ROUND(IF(AQ66="2",BH66,0),2)</f>
        <v>0</v>
      </c>
      <c r="AG66" s="55">
        <f>ROUND(IF(AQ66="2",BI66,0),2)</f>
        <v>0</v>
      </c>
      <c r="AH66" s="55">
        <f>ROUND(IF(AQ66="0",BJ66,0),2)</f>
        <v>0</v>
      </c>
      <c r="AI66" s="75" t="s">
        <v>103</v>
      </c>
      <c r="AJ66" s="55">
        <f>IF(AN66=0,L66,0)</f>
        <v>0</v>
      </c>
      <c r="AK66" s="55">
        <f>IF(AN66=12,L66,0)</f>
        <v>0</v>
      </c>
      <c r="AL66" s="55">
        <f>IF(AN66=21,L66,0)</f>
        <v>0</v>
      </c>
      <c r="AN66" s="55">
        <v>21</v>
      </c>
      <c r="AO66" s="55">
        <f>H66*0</f>
        <v>0</v>
      </c>
      <c r="AP66" s="55">
        <f>H66*(1-0)</f>
        <v>0</v>
      </c>
      <c r="AQ66" s="54" t="s">
        <v>152</v>
      </c>
      <c r="AV66" s="55">
        <f>ROUND(AW66+AX66,2)</f>
        <v>0</v>
      </c>
      <c r="AW66" s="55">
        <f>ROUND(G66*AO66,2)</f>
        <v>0</v>
      </c>
      <c r="AX66" s="55">
        <f>ROUND(G66*AP66,2)</f>
        <v>0</v>
      </c>
      <c r="AY66" s="54" t="s">
        <v>310</v>
      </c>
      <c r="AZ66" s="54" t="s">
        <v>289</v>
      </c>
      <c r="BA66" s="75" t="s">
        <v>160</v>
      </c>
      <c r="BC66" s="55">
        <f>AW66+AX66</f>
        <v>0</v>
      </c>
      <c r="BD66" s="55">
        <f>H66/(100-BE66)*100</f>
        <v>0</v>
      </c>
      <c r="BE66" s="55">
        <v>0</v>
      </c>
      <c r="BF66" s="55">
        <f>O66</f>
        <v>0</v>
      </c>
      <c r="BH66" s="55">
        <f>G66*AO66</f>
        <v>0</v>
      </c>
      <c r="BI66" s="55">
        <f>G66*AP66</f>
        <v>0</v>
      </c>
      <c r="BJ66" s="55">
        <f>G66*H66</f>
        <v>0</v>
      </c>
      <c r="BK66" s="54" t="s">
        <v>161</v>
      </c>
      <c r="BL66" s="55">
        <v>94</v>
      </c>
      <c r="BW66" s="55">
        <f>I66</f>
        <v>21</v>
      </c>
      <c r="BX66" s="16" t="s">
        <v>319</v>
      </c>
    </row>
    <row r="67" spans="1:76" ht="15" customHeight="1" x14ac:dyDescent="0.3">
      <c r="A67" s="94" t="s">
        <v>320</v>
      </c>
      <c r="B67" s="94" t="s">
        <v>103</v>
      </c>
      <c r="C67" s="94" t="s">
        <v>321</v>
      </c>
      <c r="D67" s="199" t="s">
        <v>322</v>
      </c>
      <c r="E67" s="199"/>
      <c r="F67" s="94" t="s">
        <v>323</v>
      </c>
      <c r="G67" s="96">
        <v>0.71399999999999997</v>
      </c>
      <c r="H67" s="97"/>
      <c r="I67" s="98">
        <v>21</v>
      </c>
      <c r="J67" s="97">
        <f>ROUND(G67*AO67,2)</f>
        <v>0</v>
      </c>
      <c r="K67" s="97">
        <f>ROUND(G67*AP67,2)</f>
        <v>0</v>
      </c>
      <c r="L67" s="97">
        <f>ROUND(G67*H67,2)</f>
        <v>0</v>
      </c>
      <c r="M67" s="97">
        <f>L67*(1+BW67/100)</f>
        <v>0</v>
      </c>
      <c r="N67" s="97">
        <v>0</v>
      </c>
      <c r="O67" s="96">
        <f>G67*N67</f>
        <v>0</v>
      </c>
      <c r="P67" s="99" t="s">
        <v>156</v>
      </c>
      <c r="Z67" s="55">
        <f>ROUND(IF(AQ67="5",BJ67,0),2)</f>
        <v>0</v>
      </c>
      <c r="AB67" s="55">
        <f>ROUND(IF(AQ67="1",BH67,0),2)</f>
        <v>0</v>
      </c>
      <c r="AC67" s="55">
        <f>ROUND(IF(AQ67="1",BI67,0),2)</f>
        <v>0</v>
      </c>
      <c r="AD67" s="55">
        <f>ROUND(IF(AQ67="7",BH67,0),2)</f>
        <v>0</v>
      </c>
      <c r="AE67" s="55">
        <f>ROUND(IF(AQ67="7",BI67,0),2)</f>
        <v>0</v>
      </c>
      <c r="AF67" s="55">
        <f>ROUND(IF(AQ67="2",BH67,0),2)</f>
        <v>0</v>
      </c>
      <c r="AG67" s="55">
        <f>ROUND(IF(AQ67="2",BI67,0),2)</f>
        <v>0</v>
      </c>
      <c r="AH67" s="55">
        <f>ROUND(IF(AQ67="0",BJ67,0),2)</f>
        <v>0</v>
      </c>
      <c r="AI67" s="75" t="s">
        <v>103</v>
      </c>
      <c r="AJ67" s="55">
        <f>IF(AN67=0,L67,0)</f>
        <v>0</v>
      </c>
      <c r="AK67" s="55">
        <f>IF(AN67=12,L67,0)</f>
        <v>0</v>
      </c>
      <c r="AL67" s="55">
        <f>IF(AN67=21,L67,0)</f>
        <v>0</v>
      </c>
      <c r="AN67" s="55">
        <v>21</v>
      </c>
      <c r="AO67" s="55">
        <f>H67*0</f>
        <v>0</v>
      </c>
      <c r="AP67" s="55">
        <f>H67*(1-0)</f>
        <v>0</v>
      </c>
      <c r="AQ67" s="54" t="s">
        <v>179</v>
      </c>
      <c r="AV67" s="55">
        <f>ROUND(AW67+AX67,2)</f>
        <v>0</v>
      </c>
      <c r="AW67" s="55">
        <f>ROUND(G67*AO67,2)</f>
        <v>0</v>
      </c>
      <c r="AX67" s="55">
        <f>ROUND(G67*AP67,2)</f>
        <v>0</v>
      </c>
      <c r="AY67" s="54" t="s">
        <v>310</v>
      </c>
      <c r="AZ67" s="54" t="s">
        <v>289</v>
      </c>
      <c r="BA67" s="75" t="s">
        <v>160</v>
      </c>
      <c r="BC67" s="55">
        <f>AW67+AX67</f>
        <v>0</v>
      </c>
      <c r="BD67" s="55">
        <f>H67/(100-BE67)*100</f>
        <v>0</v>
      </c>
      <c r="BE67" s="55">
        <v>0</v>
      </c>
      <c r="BF67" s="55">
        <f>O67</f>
        <v>0</v>
      </c>
      <c r="BH67" s="55">
        <f>G67*AO67</f>
        <v>0</v>
      </c>
      <c r="BI67" s="55">
        <f>G67*AP67</f>
        <v>0</v>
      </c>
      <c r="BJ67" s="55">
        <f>G67*H67</f>
        <v>0</v>
      </c>
      <c r="BK67" s="54" t="s">
        <v>161</v>
      </c>
      <c r="BL67" s="55">
        <v>94</v>
      </c>
      <c r="BW67" s="55">
        <f>I67</f>
        <v>21</v>
      </c>
      <c r="BX67" s="16" t="s">
        <v>322</v>
      </c>
    </row>
    <row r="68" spans="1:76" ht="15" customHeight="1" x14ac:dyDescent="0.3">
      <c r="A68" s="88"/>
      <c r="B68" s="89" t="s">
        <v>103</v>
      </c>
      <c r="C68" s="89" t="s">
        <v>324</v>
      </c>
      <c r="D68" s="198" t="s">
        <v>325</v>
      </c>
      <c r="E68" s="198"/>
      <c r="F68" s="88" t="s">
        <v>96</v>
      </c>
      <c r="G68" s="90" t="s">
        <v>96</v>
      </c>
      <c r="H68" s="88"/>
      <c r="I68" s="88" t="s">
        <v>96</v>
      </c>
      <c r="J68" s="91">
        <f>SUM(J69:J84)</f>
        <v>0</v>
      </c>
      <c r="K68" s="91">
        <f>SUM(K69:K84)</f>
        <v>0</v>
      </c>
      <c r="L68" s="91">
        <f>SUM(L69:L84)</f>
        <v>0</v>
      </c>
      <c r="M68" s="91">
        <f>SUM(M69:M84)</f>
        <v>0</v>
      </c>
      <c r="N68" s="92"/>
      <c r="O68" s="93">
        <f>SUM(O69:O84)</f>
        <v>237.52722068</v>
      </c>
      <c r="P68" s="92"/>
      <c r="AI68" s="75" t="s">
        <v>103</v>
      </c>
      <c r="AS68" s="68">
        <f>SUM(AJ69:AJ84)</f>
        <v>0</v>
      </c>
      <c r="AT68" s="68">
        <f>SUM(AK69:AK84)</f>
        <v>0</v>
      </c>
      <c r="AU68" s="68">
        <f>SUM(AL69:AL84)</f>
        <v>0</v>
      </c>
    </row>
    <row r="69" spans="1:76" ht="15" customHeight="1" x14ac:dyDescent="0.3">
      <c r="A69" s="94" t="s">
        <v>326</v>
      </c>
      <c r="B69" s="94" t="s">
        <v>103</v>
      </c>
      <c r="C69" s="94" t="s">
        <v>327</v>
      </c>
      <c r="D69" s="199" t="s">
        <v>328</v>
      </c>
      <c r="E69" s="199"/>
      <c r="F69" s="94" t="s">
        <v>212</v>
      </c>
      <c r="G69" s="96">
        <v>10</v>
      </c>
      <c r="H69" s="97"/>
      <c r="I69" s="98">
        <v>21</v>
      </c>
      <c r="J69" s="97">
        <f t="shared" ref="J69:J84" si="56">ROUND(G69*AO69,2)</f>
        <v>0</v>
      </c>
      <c r="K69" s="97">
        <f t="shared" ref="K69:K84" si="57">ROUND(G69*AP69,2)</f>
        <v>0</v>
      </c>
      <c r="L69" s="97">
        <f t="shared" ref="L69:L84" si="58">ROUND(G69*H69,2)</f>
        <v>0</v>
      </c>
      <c r="M69" s="97">
        <f t="shared" ref="M69:M84" si="59">L69*(1+BW69/100)</f>
        <v>0</v>
      </c>
      <c r="N69" s="97">
        <v>0</v>
      </c>
      <c r="O69" s="96">
        <f t="shared" ref="O69:O84" si="60">G69*N69</f>
        <v>0</v>
      </c>
      <c r="P69" s="99" t="s">
        <v>156</v>
      </c>
      <c r="Z69" s="55">
        <f t="shared" ref="Z69:Z84" si="61">ROUND(IF(AQ69="5",BJ69,0),2)</f>
        <v>0</v>
      </c>
      <c r="AB69" s="55">
        <f t="shared" ref="AB69:AB84" si="62">ROUND(IF(AQ69="1",BH69,0),2)</f>
        <v>0</v>
      </c>
      <c r="AC69" s="55">
        <f t="shared" ref="AC69:AC84" si="63">ROUND(IF(AQ69="1",BI69,0),2)</f>
        <v>0</v>
      </c>
      <c r="AD69" s="55">
        <f t="shared" ref="AD69:AD84" si="64">ROUND(IF(AQ69="7",BH69,0),2)</f>
        <v>0</v>
      </c>
      <c r="AE69" s="55">
        <f t="shared" ref="AE69:AE84" si="65">ROUND(IF(AQ69="7",BI69,0),2)</f>
        <v>0</v>
      </c>
      <c r="AF69" s="55">
        <f t="shared" ref="AF69:AF84" si="66">ROUND(IF(AQ69="2",BH69,0),2)</f>
        <v>0</v>
      </c>
      <c r="AG69" s="55">
        <f t="shared" ref="AG69:AG84" si="67">ROUND(IF(AQ69="2",BI69,0),2)</f>
        <v>0</v>
      </c>
      <c r="AH69" s="55">
        <f t="shared" ref="AH69:AH84" si="68">ROUND(IF(AQ69="0",BJ69,0),2)</f>
        <v>0</v>
      </c>
      <c r="AI69" s="75" t="s">
        <v>103</v>
      </c>
      <c r="AJ69" s="55">
        <f t="shared" ref="AJ69:AJ84" si="69">IF(AN69=0,L69,0)</f>
        <v>0</v>
      </c>
      <c r="AK69" s="55">
        <f t="shared" ref="AK69:AK84" si="70">IF(AN69=12,L69,0)</f>
        <v>0</v>
      </c>
      <c r="AL69" s="55">
        <f t="shared" ref="AL69:AL84" si="71">IF(AN69=21,L69,0)</f>
        <v>0</v>
      </c>
      <c r="AN69" s="55">
        <v>21</v>
      </c>
      <c r="AO69" s="55">
        <f>H69*0</f>
        <v>0</v>
      </c>
      <c r="AP69" s="55">
        <f>H69*(1-0)</f>
        <v>0</v>
      </c>
      <c r="AQ69" s="54" t="s">
        <v>152</v>
      </c>
      <c r="AV69" s="55">
        <f t="shared" ref="AV69:AV84" si="72">ROUND(AW69+AX69,2)</f>
        <v>0</v>
      </c>
      <c r="AW69" s="55">
        <f t="shared" ref="AW69:AW84" si="73">ROUND(G69*AO69,2)</f>
        <v>0</v>
      </c>
      <c r="AX69" s="55">
        <f t="shared" ref="AX69:AX84" si="74">ROUND(G69*AP69,2)</f>
        <v>0</v>
      </c>
      <c r="AY69" s="54" t="s">
        <v>329</v>
      </c>
      <c r="AZ69" s="54" t="s">
        <v>289</v>
      </c>
      <c r="BA69" s="75" t="s">
        <v>160</v>
      </c>
      <c r="BC69" s="55">
        <f t="shared" ref="BC69:BC84" si="75">AW69+AX69</f>
        <v>0</v>
      </c>
      <c r="BD69" s="55">
        <f t="shared" ref="BD69:BD84" si="76">H69/(100-BE69)*100</f>
        <v>0</v>
      </c>
      <c r="BE69" s="55">
        <v>0</v>
      </c>
      <c r="BF69" s="55">
        <f t="shared" ref="BF69:BF84" si="77">O69</f>
        <v>0</v>
      </c>
      <c r="BH69" s="55">
        <f t="shared" ref="BH69:BH84" si="78">G69*AO69</f>
        <v>0</v>
      </c>
      <c r="BI69" s="55">
        <f t="shared" ref="BI69:BI84" si="79">G69*AP69</f>
        <v>0</v>
      </c>
      <c r="BJ69" s="55">
        <f t="shared" ref="BJ69:BJ84" si="80">G69*H69</f>
        <v>0</v>
      </c>
      <c r="BK69" s="54" t="s">
        <v>161</v>
      </c>
      <c r="BL69" s="55">
        <v>96</v>
      </c>
      <c r="BW69" s="55">
        <f t="shared" ref="BW69:BW84" si="81">I69</f>
        <v>21</v>
      </c>
      <c r="BX69" s="16" t="s">
        <v>328</v>
      </c>
    </row>
    <row r="70" spans="1:76" ht="15" customHeight="1" x14ac:dyDescent="0.3">
      <c r="A70" s="94" t="s">
        <v>330</v>
      </c>
      <c r="B70" s="94" t="s">
        <v>103</v>
      </c>
      <c r="C70" s="94" t="s">
        <v>331</v>
      </c>
      <c r="D70" s="199" t="s">
        <v>332</v>
      </c>
      <c r="E70" s="199"/>
      <c r="F70" s="94" t="s">
        <v>212</v>
      </c>
      <c r="G70" s="96">
        <v>22</v>
      </c>
      <c r="H70" s="97"/>
      <c r="I70" s="98">
        <v>21</v>
      </c>
      <c r="J70" s="97">
        <f t="shared" si="56"/>
        <v>0</v>
      </c>
      <c r="K70" s="97">
        <f t="shared" si="57"/>
        <v>0</v>
      </c>
      <c r="L70" s="97">
        <f t="shared" si="58"/>
        <v>0</v>
      </c>
      <c r="M70" s="97">
        <f t="shared" si="59"/>
        <v>0</v>
      </c>
      <c r="N70" s="97">
        <v>0</v>
      </c>
      <c r="O70" s="96">
        <f t="shared" si="60"/>
        <v>0</v>
      </c>
      <c r="P70" s="99" t="s">
        <v>156</v>
      </c>
      <c r="Z70" s="55">
        <f t="shared" si="61"/>
        <v>0</v>
      </c>
      <c r="AB70" s="55">
        <f t="shared" si="62"/>
        <v>0</v>
      </c>
      <c r="AC70" s="55">
        <f t="shared" si="63"/>
        <v>0</v>
      </c>
      <c r="AD70" s="55">
        <f t="shared" si="64"/>
        <v>0</v>
      </c>
      <c r="AE70" s="55">
        <f t="shared" si="65"/>
        <v>0</v>
      </c>
      <c r="AF70" s="55">
        <f t="shared" si="66"/>
        <v>0</v>
      </c>
      <c r="AG70" s="55">
        <f t="shared" si="67"/>
        <v>0</v>
      </c>
      <c r="AH70" s="55">
        <f t="shared" si="68"/>
        <v>0</v>
      </c>
      <c r="AI70" s="75" t="s">
        <v>103</v>
      </c>
      <c r="AJ70" s="55">
        <f t="shared" si="69"/>
        <v>0</v>
      </c>
      <c r="AK70" s="55">
        <f t="shared" si="70"/>
        <v>0</v>
      </c>
      <c r="AL70" s="55">
        <f t="shared" si="71"/>
        <v>0</v>
      </c>
      <c r="AN70" s="55">
        <v>21</v>
      </c>
      <c r="AO70" s="55">
        <f>H70*0</f>
        <v>0</v>
      </c>
      <c r="AP70" s="55">
        <f>H70*(1-0)</f>
        <v>0</v>
      </c>
      <c r="AQ70" s="54" t="s">
        <v>152</v>
      </c>
      <c r="AV70" s="55">
        <f t="shared" si="72"/>
        <v>0</v>
      </c>
      <c r="AW70" s="55">
        <f t="shared" si="73"/>
        <v>0</v>
      </c>
      <c r="AX70" s="55">
        <f t="shared" si="74"/>
        <v>0</v>
      </c>
      <c r="AY70" s="54" t="s">
        <v>329</v>
      </c>
      <c r="AZ70" s="54" t="s">
        <v>289</v>
      </c>
      <c r="BA70" s="75" t="s">
        <v>160</v>
      </c>
      <c r="BC70" s="55">
        <f t="shared" si="75"/>
        <v>0</v>
      </c>
      <c r="BD70" s="55">
        <f t="shared" si="76"/>
        <v>0</v>
      </c>
      <c r="BE70" s="55">
        <v>0</v>
      </c>
      <c r="BF70" s="55">
        <f t="shared" si="77"/>
        <v>0</v>
      </c>
      <c r="BH70" s="55">
        <f t="shared" si="78"/>
        <v>0</v>
      </c>
      <c r="BI70" s="55">
        <f t="shared" si="79"/>
        <v>0</v>
      </c>
      <c r="BJ70" s="55">
        <f t="shared" si="80"/>
        <v>0</v>
      </c>
      <c r="BK70" s="54" t="s">
        <v>161</v>
      </c>
      <c r="BL70" s="55">
        <v>96</v>
      </c>
      <c r="BW70" s="55">
        <f t="shared" si="81"/>
        <v>21</v>
      </c>
      <c r="BX70" s="16" t="s">
        <v>332</v>
      </c>
    </row>
    <row r="71" spans="1:76" ht="15" customHeight="1" x14ac:dyDescent="0.3">
      <c r="A71" s="94" t="s">
        <v>333</v>
      </c>
      <c r="B71" s="94" t="s">
        <v>103</v>
      </c>
      <c r="C71" s="94" t="s">
        <v>334</v>
      </c>
      <c r="D71" s="199" t="s">
        <v>335</v>
      </c>
      <c r="E71" s="199"/>
      <c r="F71" s="94" t="s">
        <v>155</v>
      </c>
      <c r="G71" s="96">
        <v>27.82</v>
      </c>
      <c r="H71" s="97"/>
      <c r="I71" s="98">
        <v>21</v>
      </c>
      <c r="J71" s="97">
        <f t="shared" si="56"/>
        <v>0</v>
      </c>
      <c r="K71" s="97">
        <f t="shared" si="57"/>
        <v>0</v>
      </c>
      <c r="L71" s="97">
        <f t="shared" si="58"/>
        <v>0</v>
      </c>
      <c r="M71" s="97">
        <f t="shared" si="59"/>
        <v>0</v>
      </c>
      <c r="N71" s="97">
        <v>7.7170000000000002E-2</v>
      </c>
      <c r="O71" s="96">
        <f t="shared" si="60"/>
        <v>2.1468693999999999</v>
      </c>
      <c r="P71" s="99" t="s">
        <v>156</v>
      </c>
      <c r="Z71" s="55">
        <f t="shared" si="61"/>
        <v>0</v>
      </c>
      <c r="AB71" s="55">
        <f t="shared" si="62"/>
        <v>0</v>
      </c>
      <c r="AC71" s="55">
        <f t="shared" si="63"/>
        <v>0</v>
      </c>
      <c r="AD71" s="55">
        <f t="shared" si="64"/>
        <v>0</v>
      </c>
      <c r="AE71" s="55">
        <f t="shared" si="65"/>
        <v>0</v>
      </c>
      <c r="AF71" s="55">
        <f t="shared" si="66"/>
        <v>0</v>
      </c>
      <c r="AG71" s="55">
        <f t="shared" si="67"/>
        <v>0</v>
      </c>
      <c r="AH71" s="55">
        <f t="shared" si="68"/>
        <v>0</v>
      </c>
      <c r="AI71" s="75" t="s">
        <v>103</v>
      </c>
      <c r="AJ71" s="55">
        <f t="shared" si="69"/>
        <v>0</v>
      </c>
      <c r="AK71" s="55">
        <f t="shared" si="70"/>
        <v>0</v>
      </c>
      <c r="AL71" s="55">
        <f t="shared" si="71"/>
        <v>0</v>
      </c>
      <c r="AN71" s="55">
        <v>21</v>
      </c>
      <c r="AO71" s="55">
        <f>H71*0.060908037</f>
        <v>0</v>
      </c>
      <c r="AP71" s="55">
        <f>H71*(1-0.060908037)</f>
        <v>0</v>
      </c>
      <c r="AQ71" s="54" t="s">
        <v>152</v>
      </c>
      <c r="AV71" s="55">
        <f t="shared" si="72"/>
        <v>0</v>
      </c>
      <c r="AW71" s="55">
        <f t="shared" si="73"/>
        <v>0</v>
      </c>
      <c r="AX71" s="55">
        <f t="shared" si="74"/>
        <v>0</v>
      </c>
      <c r="AY71" s="54" t="s">
        <v>329</v>
      </c>
      <c r="AZ71" s="54" t="s">
        <v>289</v>
      </c>
      <c r="BA71" s="75" t="s">
        <v>160</v>
      </c>
      <c r="BC71" s="55">
        <f t="shared" si="75"/>
        <v>0</v>
      </c>
      <c r="BD71" s="55">
        <f t="shared" si="76"/>
        <v>0</v>
      </c>
      <c r="BE71" s="55">
        <v>0</v>
      </c>
      <c r="BF71" s="55">
        <f t="shared" si="77"/>
        <v>2.1468693999999999</v>
      </c>
      <c r="BH71" s="55">
        <f t="shared" si="78"/>
        <v>0</v>
      </c>
      <c r="BI71" s="55">
        <f t="shared" si="79"/>
        <v>0</v>
      </c>
      <c r="BJ71" s="55">
        <f t="shared" si="80"/>
        <v>0</v>
      </c>
      <c r="BK71" s="54" t="s">
        <v>161</v>
      </c>
      <c r="BL71" s="55">
        <v>96</v>
      </c>
      <c r="BW71" s="55">
        <f t="shared" si="81"/>
        <v>21</v>
      </c>
      <c r="BX71" s="16" t="s">
        <v>335</v>
      </c>
    </row>
    <row r="72" spans="1:76" ht="15" customHeight="1" x14ac:dyDescent="0.3">
      <c r="A72" s="94" t="s">
        <v>336</v>
      </c>
      <c r="B72" s="94" t="s">
        <v>103</v>
      </c>
      <c r="C72" s="94" t="s">
        <v>337</v>
      </c>
      <c r="D72" s="199" t="s">
        <v>338</v>
      </c>
      <c r="E72" s="199"/>
      <c r="F72" s="94" t="s">
        <v>212</v>
      </c>
      <c r="G72" s="96">
        <v>24</v>
      </c>
      <c r="H72" s="97"/>
      <c r="I72" s="98">
        <v>21</v>
      </c>
      <c r="J72" s="97">
        <f t="shared" si="56"/>
        <v>0</v>
      </c>
      <c r="K72" s="97">
        <f t="shared" si="57"/>
        <v>0</v>
      </c>
      <c r="L72" s="97">
        <f t="shared" si="58"/>
        <v>0</v>
      </c>
      <c r="M72" s="97">
        <f t="shared" si="59"/>
        <v>0</v>
      </c>
      <c r="N72" s="97">
        <v>2.1000000000000001E-2</v>
      </c>
      <c r="O72" s="96">
        <f t="shared" si="60"/>
        <v>0.504</v>
      </c>
      <c r="P72" s="99" t="s">
        <v>156</v>
      </c>
      <c r="Z72" s="55">
        <f t="shared" si="61"/>
        <v>0</v>
      </c>
      <c r="AB72" s="55">
        <f t="shared" si="62"/>
        <v>0</v>
      </c>
      <c r="AC72" s="55">
        <f t="shared" si="63"/>
        <v>0</v>
      </c>
      <c r="AD72" s="55">
        <f t="shared" si="64"/>
        <v>0</v>
      </c>
      <c r="AE72" s="55">
        <f t="shared" si="65"/>
        <v>0</v>
      </c>
      <c r="AF72" s="55">
        <f t="shared" si="66"/>
        <v>0</v>
      </c>
      <c r="AG72" s="55">
        <f t="shared" si="67"/>
        <v>0</v>
      </c>
      <c r="AH72" s="55">
        <f t="shared" si="68"/>
        <v>0</v>
      </c>
      <c r="AI72" s="75" t="s">
        <v>103</v>
      </c>
      <c r="AJ72" s="55">
        <f t="shared" si="69"/>
        <v>0</v>
      </c>
      <c r="AK72" s="55">
        <f t="shared" si="70"/>
        <v>0</v>
      </c>
      <c r="AL72" s="55">
        <f t="shared" si="71"/>
        <v>0</v>
      </c>
      <c r="AN72" s="55">
        <v>21</v>
      </c>
      <c r="AO72" s="55">
        <f>H72*0</f>
        <v>0</v>
      </c>
      <c r="AP72" s="55">
        <f>H72*(1-0)</f>
        <v>0</v>
      </c>
      <c r="AQ72" s="54" t="s">
        <v>152</v>
      </c>
      <c r="AV72" s="55">
        <f t="shared" si="72"/>
        <v>0</v>
      </c>
      <c r="AW72" s="55">
        <f t="shared" si="73"/>
        <v>0</v>
      </c>
      <c r="AX72" s="55">
        <f t="shared" si="74"/>
        <v>0</v>
      </c>
      <c r="AY72" s="54" t="s">
        <v>329</v>
      </c>
      <c r="AZ72" s="54" t="s">
        <v>289</v>
      </c>
      <c r="BA72" s="75" t="s">
        <v>160</v>
      </c>
      <c r="BC72" s="55">
        <f t="shared" si="75"/>
        <v>0</v>
      </c>
      <c r="BD72" s="55">
        <f t="shared" si="76"/>
        <v>0</v>
      </c>
      <c r="BE72" s="55">
        <v>0</v>
      </c>
      <c r="BF72" s="55">
        <f t="shared" si="77"/>
        <v>0.504</v>
      </c>
      <c r="BH72" s="55">
        <f t="shared" si="78"/>
        <v>0</v>
      </c>
      <c r="BI72" s="55">
        <f t="shared" si="79"/>
        <v>0</v>
      </c>
      <c r="BJ72" s="55">
        <f t="shared" si="80"/>
        <v>0</v>
      </c>
      <c r="BK72" s="54" t="s">
        <v>161</v>
      </c>
      <c r="BL72" s="55">
        <v>96</v>
      </c>
      <c r="BW72" s="55">
        <f t="shared" si="81"/>
        <v>21</v>
      </c>
      <c r="BX72" s="16" t="s">
        <v>338</v>
      </c>
    </row>
    <row r="73" spans="1:76" ht="15" customHeight="1" x14ac:dyDescent="0.3">
      <c r="A73" s="94" t="s">
        <v>339</v>
      </c>
      <c r="B73" s="94" t="s">
        <v>103</v>
      </c>
      <c r="C73" s="94" t="s">
        <v>340</v>
      </c>
      <c r="D73" s="199" t="s">
        <v>341</v>
      </c>
      <c r="E73" s="199"/>
      <c r="F73" s="94" t="s">
        <v>155</v>
      </c>
      <c r="G73" s="96">
        <v>24</v>
      </c>
      <c r="H73" s="97"/>
      <c r="I73" s="98">
        <v>21</v>
      </c>
      <c r="J73" s="97">
        <f t="shared" si="56"/>
        <v>0</v>
      </c>
      <c r="K73" s="97">
        <f t="shared" si="57"/>
        <v>0</v>
      </c>
      <c r="L73" s="97">
        <f t="shared" si="58"/>
        <v>0</v>
      </c>
      <c r="M73" s="97">
        <f t="shared" si="59"/>
        <v>0</v>
      </c>
      <c r="N73" s="97">
        <v>2.792E-2</v>
      </c>
      <c r="O73" s="96">
        <f t="shared" si="60"/>
        <v>0.67008000000000001</v>
      </c>
      <c r="P73" s="99" t="s">
        <v>156</v>
      </c>
      <c r="Z73" s="55">
        <f t="shared" si="61"/>
        <v>0</v>
      </c>
      <c r="AB73" s="55">
        <f t="shared" si="62"/>
        <v>0</v>
      </c>
      <c r="AC73" s="55">
        <f t="shared" si="63"/>
        <v>0</v>
      </c>
      <c r="AD73" s="55">
        <f t="shared" si="64"/>
        <v>0</v>
      </c>
      <c r="AE73" s="55">
        <f t="shared" si="65"/>
        <v>0</v>
      </c>
      <c r="AF73" s="55">
        <f t="shared" si="66"/>
        <v>0</v>
      </c>
      <c r="AG73" s="55">
        <f t="shared" si="67"/>
        <v>0</v>
      </c>
      <c r="AH73" s="55">
        <f t="shared" si="68"/>
        <v>0</v>
      </c>
      <c r="AI73" s="75" t="s">
        <v>103</v>
      </c>
      <c r="AJ73" s="55">
        <f t="shared" si="69"/>
        <v>0</v>
      </c>
      <c r="AK73" s="55">
        <f t="shared" si="70"/>
        <v>0</v>
      </c>
      <c r="AL73" s="55">
        <f t="shared" si="71"/>
        <v>0</v>
      </c>
      <c r="AN73" s="55">
        <v>21</v>
      </c>
      <c r="AO73" s="55">
        <f>H73*0.151371754</f>
        <v>0</v>
      </c>
      <c r="AP73" s="55">
        <f>H73*(1-0.151371754)</f>
        <v>0</v>
      </c>
      <c r="AQ73" s="54" t="s">
        <v>152</v>
      </c>
      <c r="AV73" s="55">
        <f t="shared" si="72"/>
        <v>0</v>
      </c>
      <c r="AW73" s="55">
        <f t="shared" si="73"/>
        <v>0</v>
      </c>
      <c r="AX73" s="55">
        <f t="shared" si="74"/>
        <v>0</v>
      </c>
      <c r="AY73" s="54" t="s">
        <v>329</v>
      </c>
      <c r="AZ73" s="54" t="s">
        <v>289</v>
      </c>
      <c r="BA73" s="75" t="s">
        <v>160</v>
      </c>
      <c r="BC73" s="55">
        <f t="shared" si="75"/>
        <v>0</v>
      </c>
      <c r="BD73" s="55">
        <f t="shared" si="76"/>
        <v>0</v>
      </c>
      <c r="BE73" s="55">
        <v>0</v>
      </c>
      <c r="BF73" s="55">
        <f t="shared" si="77"/>
        <v>0.67008000000000001</v>
      </c>
      <c r="BH73" s="55">
        <f t="shared" si="78"/>
        <v>0</v>
      </c>
      <c r="BI73" s="55">
        <f t="shared" si="79"/>
        <v>0</v>
      </c>
      <c r="BJ73" s="55">
        <f t="shared" si="80"/>
        <v>0</v>
      </c>
      <c r="BK73" s="54" t="s">
        <v>161</v>
      </c>
      <c r="BL73" s="55">
        <v>96</v>
      </c>
      <c r="BW73" s="55">
        <f t="shared" si="81"/>
        <v>21</v>
      </c>
      <c r="BX73" s="16" t="s">
        <v>341</v>
      </c>
    </row>
    <row r="74" spans="1:76" ht="15" customHeight="1" x14ac:dyDescent="0.3">
      <c r="A74" s="94" t="s">
        <v>342</v>
      </c>
      <c r="B74" s="94" t="s">
        <v>103</v>
      </c>
      <c r="C74" s="94" t="s">
        <v>343</v>
      </c>
      <c r="D74" s="199" t="s">
        <v>344</v>
      </c>
      <c r="E74" s="199"/>
      <c r="F74" s="94" t="s">
        <v>155</v>
      </c>
      <c r="G74" s="96">
        <v>32.64</v>
      </c>
      <c r="H74" s="97"/>
      <c r="I74" s="98">
        <v>21</v>
      </c>
      <c r="J74" s="97">
        <f t="shared" si="56"/>
        <v>0</v>
      </c>
      <c r="K74" s="97">
        <f t="shared" si="57"/>
        <v>0</v>
      </c>
      <c r="L74" s="97">
        <f t="shared" si="58"/>
        <v>0</v>
      </c>
      <c r="M74" s="97">
        <f t="shared" si="59"/>
        <v>0</v>
      </c>
      <c r="N74" s="97">
        <v>3.2000000000000001E-2</v>
      </c>
      <c r="O74" s="96">
        <f t="shared" si="60"/>
        <v>1.0444800000000001</v>
      </c>
      <c r="P74" s="99" t="s">
        <v>156</v>
      </c>
      <c r="Z74" s="55">
        <f t="shared" si="61"/>
        <v>0</v>
      </c>
      <c r="AB74" s="55">
        <f t="shared" si="62"/>
        <v>0</v>
      </c>
      <c r="AC74" s="55">
        <f t="shared" si="63"/>
        <v>0</v>
      </c>
      <c r="AD74" s="55">
        <f t="shared" si="64"/>
        <v>0</v>
      </c>
      <c r="AE74" s="55">
        <f t="shared" si="65"/>
        <v>0</v>
      </c>
      <c r="AF74" s="55">
        <f t="shared" si="66"/>
        <v>0</v>
      </c>
      <c r="AG74" s="55">
        <f t="shared" si="67"/>
        <v>0</v>
      </c>
      <c r="AH74" s="55">
        <f t="shared" si="68"/>
        <v>0</v>
      </c>
      <c r="AI74" s="75" t="s">
        <v>103</v>
      </c>
      <c r="AJ74" s="55">
        <f t="shared" si="69"/>
        <v>0</v>
      </c>
      <c r="AK74" s="55">
        <f t="shared" si="70"/>
        <v>0</v>
      </c>
      <c r="AL74" s="55">
        <f t="shared" si="71"/>
        <v>0</v>
      </c>
      <c r="AN74" s="55">
        <v>21</v>
      </c>
      <c r="AO74" s="55">
        <f>H74*0.133990207</f>
        <v>0</v>
      </c>
      <c r="AP74" s="55">
        <f>H74*(1-0.133990207)</f>
        <v>0</v>
      </c>
      <c r="AQ74" s="54" t="s">
        <v>152</v>
      </c>
      <c r="AV74" s="55">
        <f t="shared" si="72"/>
        <v>0</v>
      </c>
      <c r="AW74" s="55">
        <f t="shared" si="73"/>
        <v>0</v>
      </c>
      <c r="AX74" s="55">
        <f t="shared" si="74"/>
        <v>0</v>
      </c>
      <c r="AY74" s="54" t="s">
        <v>329</v>
      </c>
      <c r="AZ74" s="54" t="s">
        <v>289</v>
      </c>
      <c r="BA74" s="75" t="s">
        <v>160</v>
      </c>
      <c r="BC74" s="55">
        <f t="shared" si="75"/>
        <v>0</v>
      </c>
      <c r="BD74" s="55">
        <f t="shared" si="76"/>
        <v>0</v>
      </c>
      <c r="BE74" s="55">
        <v>0</v>
      </c>
      <c r="BF74" s="55">
        <f t="shared" si="77"/>
        <v>1.0444800000000001</v>
      </c>
      <c r="BH74" s="55">
        <f t="shared" si="78"/>
        <v>0</v>
      </c>
      <c r="BI74" s="55">
        <f t="shared" si="79"/>
        <v>0</v>
      </c>
      <c r="BJ74" s="55">
        <f t="shared" si="80"/>
        <v>0</v>
      </c>
      <c r="BK74" s="54" t="s">
        <v>161</v>
      </c>
      <c r="BL74" s="55">
        <v>96</v>
      </c>
      <c r="BW74" s="55">
        <f t="shared" si="81"/>
        <v>21</v>
      </c>
      <c r="BX74" s="16" t="s">
        <v>344</v>
      </c>
    </row>
    <row r="75" spans="1:76" ht="15" customHeight="1" x14ac:dyDescent="0.3">
      <c r="A75" s="94" t="s">
        <v>345</v>
      </c>
      <c r="B75" s="94" t="s">
        <v>103</v>
      </c>
      <c r="C75" s="94" t="s">
        <v>346</v>
      </c>
      <c r="D75" s="199" t="s">
        <v>347</v>
      </c>
      <c r="E75" s="199"/>
      <c r="F75" s="94" t="s">
        <v>212</v>
      </c>
      <c r="G75" s="96">
        <v>4</v>
      </c>
      <c r="H75" s="97"/>
      <c r="I75" s="98">
        <v>21</v>
      </c>
      <c r="J75" s="97">
        <f t="shared" si="56"/>
        <v>0</v>
      </c>
      <c r="K75" s="97">
        <f t="shared" si="57"/>
        <v>0</v>
      </c>
      <c r="L75" s="97">
        <f t="shared" si="58"/>
        <v>0</v>
      </c>
      <c r="M75" s="97">
        <f t="shared" si="59"/>
        <v>0</v>
      </c>
      <c r="N75" s="97">
        <v>0</v>
      </c>
      <c r="O75" s="96">
        <f t="shared" si="60"/>
        <v>0</v>
      </c>
      <c r="P75" s="99" t="s">
        <v>156</v>
      </c>
      <c r="Z75" s="55">
        <f t="shared" si="61"/>
        <v>0</v>
      </c>
      <c r="AB75" s="55">
        <f t="shared" si="62"/>
        <v>0</v>
      </c>
      <c r="AC75" s="55">
        <f t="shared" si="63"/>
        <v>0</v>
      </c>
      <c r="AD75" s="55">
        <f t="shared" si="64"/>
        <v>0</v>
      </c>
      <c r="AE75" s="55">
        <f t="shared" si="65"/>
        <v>0</v>
      </c>
      <c r="AF75" s="55">
        <f t="shared" si="66"/>
        <v>0</v>
      </c>
      <c r="AG75" s="55">
        <f t="shared" si="67"/>
        <v>0</v>
      </c>
      <c r="AH75" s="55">
        <f t="shared" si="68"/>
        <v>0</v>
      </c>
      <c r="AI75" s="75" t="s">
        <v>103</v>
      </c>
      <c r="AJ75" s="55">
        <f t="shared" si="69"/>
        <v>0</v>
      </c>
      <c r="AK75" s="55">
        <f t="shared" si="70"/>
        <v>0</v>
      </c>
      <c r="AL75" s="55">
        <f t="shared" si="71"/>
        <v>0</v>
      </c>
      <c r="AN75" s="55">
        <v>21</v>
      </c>
      <c r="AO75" s="55">
        <f>H75*0</f>
        <v>0</v>
      </c>
      <c r="AP75" s="55">
        <f>H75*(1-0)</f>
        <v>0</v>
      </c>
      <c r="AQ75" s="54" t="s">
        <v>152</v>
      </c>
      <c r="AV75" s="55">
        <f t="shared" si="72"/>
        <v>0</v>
      </c>
      <c r="AW75" s="55">
        <f t="shared" si="73"/>
        <v>0</v>
      </c>
      <c r="AX75" s="55">
        <f t="shared" si="74"/>
        <v>0</v>
      </c>
      <c r="AY75" s="54" t="s">
        <v>329</v>
      </c>
      <c r="AZ75" s="54" t="s">
        <v>289</v>
      </c>
      <c r="BA75" s="75" t="s">
        <v>160</v>
      </c>
      <c r="BC75" s="55">
        <f t="shared" si="75"/>
        <v>0</v>
      </c>
      <c r="BD75" s="55">
        <f t="shared" si="76"/>
        <v>0</v>
      </c>
      <c r="BE75" s="55">
        <v>0</v>
      </c>
      <c r="BF75" s="55">
        <f t="shared" si="77"/>
        <v>0</v>
      </c>
      <c r="BH75" s="55">
        <f t="shared" si="78"/>
        <v>0</v>
      </c>
      <c r="BI75" s="55">
        <f t="shared" si="79"/>
        <v>0</v>
      </c>
      <c r="BJ75" s="55">
        <f t="shared" si="80"/>
        <v>0</v>
      </c>
      <c r="BK75" s="54" t="s">
        <v>161</v>
      </c>
      <c r="BL75" s="55">
        <v>96</v>
      </c>
      <c r="BW75" s="55">
        <f t="shared" si="81"/>
        <v>21</v>
      </c>
      <c r="BX75" s="16" t="s">
        <v>347</v>
      </c>
    </row>
    <row r="76" spans="1:76" ht="15" customHeight="1" x14ac:dyDescent="0.3">
      <c r="A76" s="94" t="s">
        <v>348</v>
      </c>
      <c r="B76" s="94" t="s">
        <v>103</v>
      </c>
      <c r="C76" s="94" t="s">
        <v>349</v>
      </c>
      <c r="D76" s="199" t="s">
        <v>350</v>
      </c>
      <c r="E76" s="199"/>
      <c r="F76" s="94" t="s">
        <v>155</v>
      </c>
      <c r="G76" s="96">
        <v>6.0819999999999999</v>
      </c>
      <c r="H76" s="97"/>
      <c r="I76" s="98">
        <v>21</v>
      </c>
      <c r="J76" s="97">
        <f t="shared" si="56"/>
        <v>0</v>
      </c>
      <c r="K76" s="97">
        <f t="shared" si="57"/>
        <v>0</v>
      </c>
      <c r="L76" s="97">
        <f t="shared" si="58"/>
        <v>0</v>
      </c>
      <c r="M76" s="97">
        <f t="shared" si="59"/>
        <v>0</v>
      </c>
      <c r="N76" s="97">
        <v>6.4000000000000001E-2</v>
      </c>
      <c r="O76" s="96">
        <f t="shared" si="60"/>
        <v>0.38924799999999998</v>
      </c>
      <c r="P76" s="99" t="s">
        <v>156</v>
      </c>
      <c r="Z76" s="55">
        <f t="shared" si="61"/>
        <v>0</v>
      </c>
      <c r="AB76" s="55">
        <f t="shared" si="62"/>
        <v>0</v>
      </c>
      <c r="AC76" s="55">
        <f t="shared" si="63"/>
        <v>0</v>
      </c>
      <c r="AD76" s="55">
        <f t="shared" si="64"/>
        <v>0</v>
      </c>
      <c r="AE76" s="55">
        <f t="shared" si="65"/>
        <v>0</v>
      </c>
      <c r="AF76" s="55">
        <f t="shared" si="66"/>
        <v>0</v>
      </c>
      <c r="AG76" s="55">
        <f t="shared" si="67"/>
        <v>0</v>
      </c>
      <c r="AH76" s="55">
        <f t="shared" si="68"/>
        <v>0</v>
      </c>
      <c r="AI76" s="75" t="s">
        <v>103</v>
      </c>
      <c r="AJ76" s="55">
        <f t="shared" si="69"/>
        <v>0</v>
      </c>
      <c r="AK76" s="55">
        <f t="shared" si="70"/>
        <v>0</v>
      </c>
      <c r="AL76" s="55">
        <f t="shared" si="71"/>
        <v>0</v>
      </c>
      <c r="AN76" s="55">
        <v>21</v>
      </c>
      <c r="AO76" s="55">
        <f>H76*0.067541058</f>
        <v>0</v>
      </c>
      <c r="AP76" s="55">
        <f>H76*(1-0.067541058)</f>
        <v>0</v>
      </c>
      <c r="AQ76" s="54" t="s">
        <v>152</v>
      </c>
      <c r="AV76" s="55">
        <f t="shared" si="72"/>
        <v>0</v>
      </c>
      <c r="AW76" s="55">
        <f t="shared" si="73"/>
        <v>0</v>
      </c>
      <c r="AX76" s="55">
        <f t="shared" si="74"/>
        <v>0</v>
      </c>
      <c r="AY76" s="54" t="s">
        <v>329</v>
      </c>
      <c r="AZ76" s="54" t="s">
        <v>289</v>
      </c>
      <c r="BA76" s="75" t="s">
        <v>160</v>
      </c>
      <c r="BC76" s="55">
        <f t="shared" si="75"/>
        <v>0</v>
      </c>
      <c r="BD76" s="55">
        <f t="shared" si="76"/>
        <v>0</v>
      </c>
      <c r="BE76" s="55">
        <v>0</v>
      </c>
      <c r="BF76" s="55">
        <f t="shared" si="77"/>
        <v>0.38924799999999998</v>
      </c>
      <c r="BH76" s="55">
        <f t="shared" si="78"/>
        <v>0</v>
      </c>
      <c r="BI76" s="55">
        <f t="shared" si="79"/>
        <v>0</v>
      </c>
      <c r="BJ76" s="55">
        <f t="shared" si="80"/>
        <v>0</v>
      </c>
      <c r="BK76" s="54" t="s">
        <v>161</v>
      </c>
      <c r="BL76" s="55">
        <v>96</v>
      </c>
      <c r="BW76" s="55">
        <f t="shared" si="81"/>
        <v>21</v>
      </c>
      <c r="BX76" s="16" t="s">
        <v>350</v>
      </c>
    </row>
    <row r="77" spans="1:76" ht="15" customHeight="1" x14ac:dyDescent="0.3">
      <c r="A77" s="94" t="s">
        <v>351</v>
      </c>
      <c r="B77" s="94" t="s">
        <v>103</v>
      </c>
      <c r="C77" s="94" t="s">
        <v>352</v>
      </c>
      <c r="D77" s="199" t="s">
        <v>353</v>
      </c>
      <c r="E77" s="199"/>
      <c r="F77" s="94" t="s">
        <v>155</v>
      </c>
      <c r="G77" s="96">
        <v>2.4</v>
      </c>
      <c r="H77" s="97"/>
      <c r="I77" s="98">
        <v>21</v>
      </c>
      <c r="J77" s="97">
        <f t="shared" si="56"/>
        <v>0</v>
      </c>
      <c r="K77" s="97">
        <f t="shared" si="57"/>
        <v>0</v>
      </c>
      <c r="L77" s="97">
        <f t="shared" si="58"/>
        <v>0</v>
      </c>
      <c r="M77" s="97">
        <f t="shared" si="59"/>
        <v>0</v>
      </c>
      <c r="N77" s="97">
        <v>6.8040000000000003E-2</v>
      </c>
      <c r="O77" s="96">
        <f t="shared" si="60"/>
        <v>0.163296</v>
      </c>
      <c r="P77" s="99" t="s">
        <v>156</v>
      </c>
      <c r="Z77" s="55">
        <f t="shared" si="61"/>
        <v>0</v>
      </c>
      <c r="AB77" s="55">
        <f t="shared" si="62"/>
        <v>0</v>
      </c>
      <c r="AC77" s="55">
        <f t="shared" si="63"/>
        <v>0</v>
      </c>
      <c r="AD77" s="55">
        <f t="shared" si="64"/>
        <v>0</v>
      </c>
      <c r="AE77" s="55">
        <f t="shared" si="65"/>
        <v>0</v>
      </c>
      <c r="AF77" s="55">
        <f t="shared" si="66"/>
        <v>0</v>
      </c>
      <c r="AG77" s="55">
        <f t="shared" si="67"/>
        <v>0</v>
      </c>
      <c r="AH77" s="55">
        <f t="shared" si="68"/>
        <v>0</v>
      </c>
      <c r="AI77" s="75" t="s">
        <v>103</v>
      </c>
      <c r="AJ77" s="55">
        <f t="shared" si="69"/>
        <v>0</v>
      </c>
      <c r="AK77" s="55">
        <f t="shared" si="70"/>
        <v>0</v>
      </c>
      <c r="AL77" s="55">
        <f t="shared" si="71"/>
        <v>0</v>
      </c>
      <c r="AN77" s="55">
        <v>21</v>
      </c>
      <c r="AO77" s="55">
        <f>H77*0.14492635</f>
        <v>0</v>
      </c>
      <c r="AP77" s="55">
        <f>H77*(1-0.14492635)</f>
        <v>0</v>
      </c>
      <c r="AQ77" s="54" t="s">
        <v>152</v>
      </c>
      <c r="AV77" s="55">
        <f t="shared" si="72"/>
        <v>0</v>
      </c>
      <c r="AW77" s="55">
        <f t="shared" si="73"/>
        <v>0</v>
      </c>
      <c r="AX77" s="55">
        <f t="shared" si="74"/>
        <v>0</v>
      </c>
      <c r="AY77" s="54" t="s">
        <v>329</v>
      </c>
      <c r="AZ77" s="54" t="s">
        <v>289</v>
      </c>
      <c r="BA77" s="75" t="s">
        <v>160</v>
      </c>
      <c r="BC77" s="55">
        <f t="shared" si="75"/>
        <v>0</v>
      </c>
      <c r="BD77" s="55">
        <f t="shared" si="76"/>
        <v>0</v>
      </c>
      <c r="BE77" s="55">
        <v>0</v>
      </c>
      <c r="BF77" s="55">
        <f t="shared" si="77"/>
        <v>0.163296</v>
      </c>
      <c r="BH77" s="55">
        <f t="shared" si="78"/>
        <v>0</v>
      </c>
      <c r="BI77" s="55">
        <f t="shared" si="79"/>
        <v>0</v>
      </c>
      <c r="BJ77" s="55">
        <f t="shared" si="80"/>
        <v>0</v>
      </c>
      <c r="BK77" s="54" t="s">
        <v>161</v>
      </c>
      <c r="BL77" s="55">
        <v>96</v>
      </c>
      <c r="BW77" s="55">
        <f t="shared" si="81"/>
        <v>21</v>
      </c>
      <c r="BX77" s="16" t="s">
        <v>353</v>
      </c>
    </row>
    <row r="78" spans="1:76" ht="15" customHeight="1" x14ac:dyDescent="0.3">
      <c r="A78" s="94" t="s">
        <v>354</v>
      </c>
      <c r="B78" s="94" t="s">
        <v>103</v>
      </c>
      <c r="C78" s="94" t="s">
        <v>355</v>
      </c>
      <c r="D78" s="199" t="s">
        <v>356</v>
      </c>
      <c r="E78" s="199"/>
      <c r="F78" s="94" t="s">
        <v>212</v>
      </c>
      <c r="G78" s="96">
        <v>6</v>
      </c>
      <c r="H78" s="97"/>
      <c r="I78" s="98">
        <v>21</v>
      </c>
      <c r="J78" s="97">
        <f t="shared" si="56"/>
        <v>0</v>
      </c>
      <c r="K78" s="97">
        <f t="shared" si="57"/>
        <v>0</v>
      </c>
      <c r="L78" s="97">
        <f t="shared" si="58"/>
        <v>0</v>
      </c>
      <c r="M78" s="97">
        <f t="shared" si="59"/>
        <v>0</v>
      </c>
      <c r="N78" s="97">
        <v>0</v>
      </c>
      <c r="O78" s="96">
        <f t="shared" si="60"/>
        <v>0</v>
      </c>
      <c r="P78" s="99" t="s">
        <v>156</v>
      </c>
      <c r="Z78" s="55">
        <f t="shared" si="61"/>
        <v>0</v>
      </c>
      <c r="AB78" s="55">
        <f t="shared" si="62"/>
        <v>0</v>
      </c>
      <c r="AC78" s="55">
        <f t="shared" si="63"/>
        <v>0</v>
      </c>
      <c r="AD78" s="55">
        <f t="shared" si="64"/>
        <v>0</v>
      </c>
      <c r="AE78" s="55">
        <f t="shared" si="65"/>
        <v>0</v>
      </c>
      <c r="AF78" s="55">
        <f t="shared" si="66"/>
        <v>0</v>
      </c>
      <c r="AG78" s="55">
        <f t="shared" si="67"/>
        <v>0</v>
      </c>
      <c r="AH78" s="55">
        <f t="shared" si="68"/>
        <v>0</v>
      </c>
      <c r="AI78" s="75" t="s">
        <v>103</v>
      </c>
      <c r="AJ78" s="55">
        <f t="shared" si="69"/>
        <v>0</v>
      </c>
      <c r="AK78" s="55">
        <f t="shared" si="70"/>
        <v>0</v>
      </c>
      <c r="AL78" s="55">
        <f t="shared" si="71"/>
        <v>0</v>
      </c>
      <c r="AN78" s="55">
        <v>21</v>
      </c>
      <c r="AO78" s="55">
        <f>H78*0</f>
        <v>0</v>
      </c>
      <c r="AP78" s="55">
        <f>H78*(1-0)</f>
        <v>0</v>
      </c>
      <c r="AQ78" s="54" t="s">
        <v>152</v>
      </c>
      <c r="AV78" s="55">
        <f t="shared" si="72"/>
        <v>0</v>
      </c>
      <c r="AW78" s="55">
        <f t="shared" si="73"/>
        <v>0</v>
      </c>
      <c r="AX78" s="55">
        <f t="shared" si="74"/>
        <v>0</v>
      </c>
      <c r="AY78" s="54" t="s">
        <v>329</v>
      </c>
      <c r="AZ78" s="54" t="s">
        <v>289</v>
      </c>
      <c r="BA78" s="75" t="s">
        <v>160</v>
      </c>
      <c r="BC78" s="55">
        <f t="shared" si="75"/>
        <v>0</v>
      </c>
      <c r="BD78" s="55">
        <f t="shared" si="76"/>
        <v>0</v>
      </c>
      <c r="BE78" s="55">
        <v>0</v>
      </c>
      <c r="BF78" s="55">
        <f t="shared" si="77"/>
        <v>0</v>
      </c>
      <c r="BH78" s="55">
        <f t="shared" si="78"/>
        <v>0</v>
      </c>
      <c r="BI78" s="55">
        <f t="shared" si="79"/>
        <v>0</v>
      </c>
      <c r="BJ78" s="55">
        <f t="shared" si="80"/>
        <v>0</v>
      </c>
      <c r="BK78" s="54" t="s">
        <v>161</v>
      </c>
      <c r="BL78" s="55">
        <v>96</v>
      </c>
      <c r="BW78" s="55">
        <f t="shared" si="81"/>
        <v>21</v>
      </c>
      <c r="BX78" s="16" t="s">
        <v>356</v>
      </c>
    </row>
    <row r="79" spans="1:76" ht="15" customHeight="1" x14ac:dyDescent="0.3">
      <c r="A79" s="94" t="s">
        <v>357</v>
      </c>
      <c r="B79" s="94" t="s">
        <v>103</v>
      </c>
      <c r="C79" s="94" t="s">
        <v>358</v>
      </c>
      <c r="D79" s="199" t="s">
        <v>359</v>
      </c>
      <c r="E79" s="199"/>
      <c r="F79" s="94" t="s">
        <v>176</v>
      </c>
      <c r="G79" s="96">
        <v>33.6</v>
      </c>
      <c r="H79" s="97"/>
      <c r="I79" s="98">
        <v>21</v>
      </c>
      <c r="J79" s="97">
        <f t="shared" si="56"/>
        <v>0</v>
      </c>
      <c r="K79" s="97">
        <f t="shared" si="57"/>
        <v>0</v>
      </c>
      <c r="L79" s="97">
        <f t="shared" si="58"/>
        <v>0</v>
      </c>
      <c r="M79" s="97">
        <f t="shared" si="59"/>
        <v>0</v>
      </c>
      <c r="N79" s="97">
        <v>1.1129999999999999E-2</v>
      </c>
      <c r="O79" s="96">
        <f t="shared" si="60"/>
        <v>0.37396799999999997</v>
      </c>
      <c r="P79" s="99" t="s">
        <v>156</v>
      </c>
      <c r="Z79" s="55">
        <f t="shared" si="61"/>
        <v>0</v>
      </c>
      <c r="AB79" s="55">
        <f t="shared" si="62"/>
        <v>0</v>
      </c>
      <c r="AC79" s="55">
        <f t="shared" si="63"/>
        <v>0</v>
      </c>
      <c r="AD79" s="55">
        <f t="shared" si="64"/>
        <v>0</v>
      </c>
      <c r="AE79" s="55">
        <f t="shared" si="65"/>
        <v>0</v>
      </c>
      <c r="AF79" s="55">
        <f t="shared" si="66"/>
        <v>0</v>
      </c>
      <c r="AG79" s="55">
        <f t="shared" si="67"/>
        <v>0</v>
      </c>
      <c r="AH79" s="55">
        <f t="shared" si="68"/>
        <v>0</v>
      </c>
      <c r="AI79" s="75" t="s">
        <v>103</v>
      </c>
      <c r="AJ79" s="55">
        <f t="shared" si="69"/>
        <v>0</v>
      </c>
      <c r="AK79" s="55">
        <f t="shared" si="70"/>
        <v>0</v>
      </c>
      <c r="AL79" s="55">
        <f t="shared" si="71"/>
        <v>0</v>
      </c>
      <c r="AN79" s="55">
        <v>21</v>
      </c>
      <c r="AO79" s="55">
        <f>H79*0</f>
        <v>0</v>
      </c>
      <c r="AP79" s="55">
        <f>H79*(1-0)</f>
        <v>0</v>
      </c>
      <c r="AQ79" s="54" t="s">
        <v>152</v>
      </c>
      <c r="AV79" s="55">
        <f t="shared" si="72"/>
        <v>0</v>
      </c>
      <c r="AW79" s="55">
        <f t="shared" si="73"/>
        <v>0</v>
      </c>
      <c r="AX79" s="55">
        <f t="shared" si="74"/>
        <v>0</v>
      </c>
      <c r="AY79" s="54" t="s">
        <v>329</v>
      </c>
      <c r="AZ79" s="54" t="s">
        <v>289</v>
      </c>
      <c r="BA79" s="75" t="s">
        <v>160</v>
      </c>
      <c r="BC79" s="55">
        <f t="shared" si="75"/>
        <v>0</v>
      </c>
      <c r="BD79" s="55">
        <f t="shared" si="76"/>
        <v>0</v>
      </c>
      <c r="BE79" s="55">
        <v>0</v>
      </c>
      <c r="BF79" s="55">
        <f t="shared" si="77"/>
        <v>0.37396799999999997</v>
      </c>
      <c r="BH79" s="55">
        <f t="shared" si="78"/>
        <v>0</v>
      </c>
      <c r="BI79" s="55">
        <f t="shared" si="79"/>
        <v>0</v>
      </c>
      <c r="BJ79" s="55">
        <f t="shared" si="80"/>
        <v>0</v>
      </c>
      <c r="BK79" s="54" t="s">
        <v>161</v>
      </c>
      <c r="BL79" s="55">
        <v>96</v>
      </c>
      <c r="BW79" s="55">
        <f t="shared" si="81"/>
        <v>21</v>
      </c>
      <c r="BX79" s="16" t="s">
        <v>359</v>
      </c>
    </row>
    <row r="80" spans="1:76" ht="15" customHeight="1" x14ac:dyDescent="0.3">
      <c r="A80" s="94" t="s">
        <v>360</v>
      </c>
      <c r="B80" s="94" t="s">
        <v>103</v>
      </c>
      <c r="C80" s="94" t="s">
        <v>361</v>
      </c>
      <c r="D80" s="199" t="s">
        <v>362</v>
      </c>
      <c r="E80" s="199"/>
      <c r="F80" s="94" t="s">
        <v>155</v>
      </c>
      <c r="G80" s="96">
        <v>15.984</v>
      </c>
      <c r="H80" s="97"/>
      <c r="I80" s="98">
        <v>21</v>
      </c>
      <c r="J80" s="97">
        <f t="shared" si="56"/>
        <v>0</v>
      </c>
      <c r="K80" s="97">
        <f t="shared" si="57"/>
        <v>0</v>
      </c>
      <c r="L80" s="97">
        <f t="shared" si="58"/>
        <v>0</v>
      </c>
      <c r="M80" s="97">
        <f t="shared" si="59"/>
        <v>0</v>
      </c>
      <c r="N80" s="97">
        <v>0.15467</v>
      </c>
      <c r="O80" s="96">
        <f t="shared" si="60"/>
        <v>2.4722452800000001</v>
      </c>
      <c r="P80" s="99" t="s">
        <v>156</v>
      </c>
      <c r="Z80" s="55">
        <f t="shared" si="61"/>
        <v>0</v>
      </c>
      <c r="AB80" s="55">
        <f t="shared" si="62"/>
        <v>0</v>
      </c>
      <c r="AC80" s="55">
        <f t="shared" si="63"/>
        <v>0</v>
      </c>
      <c r="AD80" s="55">
        <f t="shared" si="64"/>
        <v>0</v>
      </c>
      <c r="AE80" s="55">
        <f t="shared" si="65"/>
        <v>0</v>
      </c>
      <c r="AF80" s="55">
        <f t="shared" si="66"/>
        <v>0</v>
      </c>
      <c r="AG80" s="55">
        <f t="shared" si="67"/>
        <v>0</v>
      </c>
      <c r="AH80" s="55">
        <f t="shared" si="68"/>
        <v>0</v>
      </c>
      <c r="AI80" s="75" t="s">
        <v>103</v>
      </c>
      <c r="AJ80" s="55">
        <f t="shared" si="69"/>
        <v>0</v>
      </c>
      <c r="AK80" s="55">
        <f t="shared" si="70"/>
        <v>0</v>
      </c>
      <c r="AL80" s="55">
        <f t="shared" si="71"/>
        <v>0</v>
      </c>
      <c r="AN80" s="55">
        <v>21</v>
      </c>
      <c r="AO80" s="55">
        <f>H80*0.121067178</f>
        <v>0</v>
      </c>
      <c r="AP80" s="55">
        <f>H80*(1-0.121067178)</f>
        <v>0</v>
      </c>
      <c r="AQ80" s="54" t="s">
        <v>152</v>
      </c>
      <c r="AV80" s="55">
        <f t="shared" si="72"/>
        <v>0</v>
      </c>
      <c r="AW80" s="55">
        <f t="shared" si="73"/>
        <v>0</v>
      </c>
      <c r="AX80" s="55">
        <f t="shared" si="74"/>
        <v>0</v>
      </c>
      <c r="AY80" s="54" t="s">
        <v>329</v>
      </c>
      <c r="AZ80" s="54" t="s">
        <v>289</v>
      </c>
      <c r="BA80" s="75" t="s">
        <v>160</v>
      </c>
      <c r="BC80" s="55">
        <f t="shared" si="75"/>
        <v>0</v>
      </c>
      <c r="BD80" s="55">
        <f t="shared" si="76"/>
        <v>0</v>
      </c>
      <c r="BE80" s="55">
        <v>0</v>
      </c>
      <c r="BF80" s="55">
        <f t="shared" si="77"/>
        <v>2.4722452800000001</v>
      </c>
      <c r="BH80" s="55">
        <f t="shared" si="78"/>
        <v>0</v>
      </c>
      <c r="BI80" s="55">
        <f t="shared" si="79"/>
        <v>0</v>
      </c>
      <c r="BJ80" s="55">
        <f t="shared" si="80"/>
        <v>0</v>
      </c>
      <c r="BK80" s="54" t="s">
        <v>161</v>
      </c>
      <c r="BL80" s="55">
        <v>96</v>
      </c>
      <c r="BW80" s="55">
        <f t="shared" si="81"/>
        <v>21</v>
      </c>
      <c r="BX80" s="16" t="s">
        <v>362</v>
      </c>
    </row>
    <row r="81" spans="1:76" ht="15" customHeight="1" x14ac:dyDescent="0.3">
      <c r="A81" s="94" t="s">
        <v>363</v>
      </c>
      <c r="B81" s="94" t="s">
        <v>103</v>
      </c>
      <c r="C81" s="94" t="s">
        <v>364</v>
      </c>
      <c r="D81" s="199" t="s">
        <v>365</v>
      </c>
      <c r="E81" s="199"/>
      <c r="F81" s="94" t="s">
        <v>366</v>
      </c>
      <c r="G81" s="96">
        <v>5.94</v>
      </c>
      <c r="H81" s="97"/>
      <c r="I81" s="98">
        <v>21</v>
      </c>
      <c r="J81" s="97">
        <f t="shared" si="56"/>
        <v>0</v>
      </c>
      <c r="K81" s="97">
        <f t="shared" si="57"/>
        <v>0</v>
      </c>
      <c r="L81" s="97">
        <f t="shared" si="58"/>
        <v>0</v>
      </c>
      <c r="M81" s="97">
        <f t="shared" si="59"/>
        <v>0</v>
      </c>
      <c r="N81" s="97">
        <v>1.1760999999999999</v>
      </c>
      <c r="O81" s="96">
        <f t="shared" si="60"/>
        <v>6.9860340000000001</v>
      </c>
      <c r="P81" s="99" t="s">
        <v>156</v>
      </c>
      <c r="Z81" s="55">
        <f t="shared" si="61"/>
        <v>0</v>
      </c>
      <c r="AB81" s="55">
        <f t="shared" si="62"/>
        <v>0</v>
      </c>
      <c r="AC81" s="55">
        <f t="shared" si="63"/>
        <v>0</v>
      </c>
      <c r="AD81" s="55">
        <f t="shared" si="64"/>
        <v>0</v>
      </c>
      <c r="AE81" s="55">
        <f t="shared" si="65"/>
        <v>0</v>
      </c>
      <c r="AF81" s="55">
        <f t="shared" si="66"/>
        <v>0</v>
      </c>
      <c r="AG81" s="55">
        <f t="shared" si="67"/>
        <v>0</v>
      </c>
      <c r="AH81" s="55">
        <f t="shared" si="68"/>
        <v>0</v>
      </c>
      <c r="AI81" s="75" t="s">
        <v>103</v>
      </c>
      <c r="AJ81" s="55">
        <f t="shared" si="69"/>
        <v>0</v>
      </c>
      <c r="AK81" s="55">
        <f t="shared" si="70"/>
        <v>0</v>
      </c>
      <c r="AL81" s="55">
        <f t="shared" si="71"/>
        <v>0</v>
      </c>
      <c r="AN81" s="55">
        <v>21</v>
      </c>
      <c r="AO81" s="55">
        <f>H81*0.032935008</f>
        <v>0</v>
      </c>
      <c r="AP81" s="55">
        <f>H81*(1-0.032935008)</f>
        <v>0</v>
      </c>
      <c r="AQ81" s="54" t="s">
        <v>152</v>
      </c>
      <c r="AV81" s="55">
        <f t="shared" si="72"/>
        <v>0</v>
      </c>
      <c r="AW81" s="55">
        <f t="shared" si="73"/>
        <v>0</v>
      </c>
      <c r="AX81" s="55">
        <f t="shared" si="74"/>
        <v>0</v>
      </c>
      <c r="AY81" s="54" t="s">
        <v>329</v>
      </c>
      <c r="AZ81" s="54" t="s">
        <v>289</v>
      </c>
      <c r="BA81" s="75" t="s">
        <v>160</v>
      </c>
      <c r="BC81" s="55">
        <f t="shared" si="75"/>
        <v>0</v>
      </c>
      <c r="BD81" s="55">
        <f t="shared" si="76"/>
        <v>0</v>
      </c>
      <c r="BE81" s="55">
        <v>0</v>
      </c>
      <c r="BF81" s="55">
        <f t="shared" si="77"/>
        <v>6.9860340000000001</v>
      </c>
      <c r="BH81" s="55">
        <f t="shared" si="78"/>
        <v>0</v>
      </c>
      <c r="BI81" s="55">
        <f t="shared" si="79"/>
        <v>0</v>
      </c>
      <c r="BJ81" s="55">
        <f t="shared" si="80"/>
        <v>0</v>
      </c>
      <c r="BK81" s="54" t="s">
        <v>161</v>
      </c>
      <c r="BL81" s="55">
        <v>96</v>
      </c>
      <c r="BW81" s="55">
        <f t="shared" si="81"/>
        <v>21</v>
      </c>
      <c r="BX81" s="16" t="s">
        <v>365</v>
      </c>
    </row>
    <row r="82" spans="1:76" ht="15" customHeight="1" x14ac:dyDescent="0.3">
      <c r="A82" s="94" t="s">
        <v>367</v>
      </c>
      <c r="B82" s="94" t="s">
        <v>103</v>
      </c>
      <c r="C82" s="94" t="s">
        <v>368</v>
      </c>
      <c r="D82" s="199" t="s">
        <v>369</v>
      </c>
      <c r="E82" s="199"/>
      <c r="F82" s="94" t="s">
        <v>366</v>
      </c>
      <c r="G82" s="96">
        <v>16.605</v>
      </c>
      <c r="H82" s="97"/>
      <c r="I82" s="98">
        <v>21</v>
      </c>
      <c r="J82" s="97">
        <f t="shared" si="56"/>
        <v>0</v>
      </c>
      <c r="K82" s="97">
        <f t="shared" si="57"/>
        <v>0</v>
      </c>
      <c r="L82" s="97">
        <f t="shared" si="58"/>
        <v>0</v>
      </c>
      <c r="M82" s="97">
        <f t="shared" si="59"/>
        <v>0</v>
      </c>
      <c r="N82" s="97">
        <v>1.4</v>
      </c>
      <c r="O82" s="96">
        <f t="shared" si="60"/>
        <v>23.247</v>
      </c>
      <c r="P82" s="99" t="s">
        <v>156</v>
      </c>
      <c r="Z82" s="55">
        <f t="shared" si="61"/>
        <v>0</v>
      </c>
      <c r="AB82" s="55">
        <f t="shared" si="62"/>
        <v>0</v>
      </c>
      <c r="AC82" s="55">
        <f t="shared" si="63"/>
        <v>0</v>
      </c>
      <c r="AD82" s="55">
        <f t="shared" si="64"/>
        <v>0</v>
      </c>
      <c r="AE82" s="55">
        <f t="shared" si="65"/>
        <v>0</v>
      </c>
      <c r="AF82" s="55">
        <f t="shared" si="66"/>
        <v>0</v>
      </c>
      <c r="AG82" s="55">
        <f t="shared" si="67"/>
        <v>0</v>
      </c>
      <c r="AH82" s="55">
        <f t="shared" si="68"/>
        <v>0</v>
      </c>
      <c r="AI82" s="75" t="s">
        <v>103</v>
      </c>
      <c r="AJ82" s="55">
        <f t="shared" si="69"/>
        <v>0</v>
      </c>
      <c r="AK82" s="55">
        <f t="shared" si="70"/>
        <v>0</v>
      </c>
      <c r="AL82" s="55">
        <f t="shared" si="71"/>
        <v>0</v>
      </c>
      <c r="AN82" s="55">
        <v>21</v>
      </c>
      <c r="AO82" s="55">
        <f>H82*0</f>
        <v>0</v>
      </c>
      <c r="AP82" s="55">
        <f>H82*(1-0)</f>
        <v>0</v>
      </c>
      <c r="AQ82" s="54" t="s">
        <v>152</v>
      </c>
      <c r="AV82" s="55">
        <f t="shared" si="72"/>
        <v>0</v>
      </c>
      <c r="AW82" s="55">
        <f t="shared" si="73"/>
        <v>0</v>
      </c>
      <c r="AX82" s="55">
        <f t="shared" si="74"/>
        <v>0</v>
      </c>
      <c r="AY82" s="54" t="s">
        <v>329</v>
      </c>
      <c r="AZ82" s="54" t="s">
        <v>289</v>
      </c>
      <c r="BA82" s="75" t="s">
        <v>160</v>
      </c>
      <c r="BC82" s="55">
        <f t="shared" si="75"/>
        <v>0</v>
      </c>
      <c r="BD82" s="55">
        <f t="shared" si="76"/>
        <v>0</v>
      </c>
      <c r="BE82" s="55">
        <v>0</v>
      </c>
      <c r="BF82" s="55">
        <f t="shared" si="77"/>
        <v>23.247</v>
      </c>
      <c r="BH82" s="55">
        <f t="shared" si="78"/>
        <v>0</v>
      </c>
      <c r="BI82" s="55">
        <f t="shared" si="79"/>
        <v>0</v>
      </c>
      <c r="BJ82" s="55">
        <f t="shared" si="80"/>
        <v>0</v>
      </c>
      <c r="BK82" s="54" t="s">
        <v>161</v>
      </c>
      <c r="BL82" s="55">
        <v>96</v>
      </c>
      <c r="BW82" s="55">
        <f t="shared" si="81"/>
        <v>21</v>
      </c>
      <c r="BX82" s="16" t="s">
        <v>369</v>
      </c>
    </row>
    <row r="83" spans="1:76" ht="15" customHeight="1" x14ac:dyDescent="0.3">
      <c r="A83" s="94" t="s">
        <v>370</v>
      </c>
      <c r="B83" s="94" t="s">
        <v>103</v>
      </c>
      <c r="C83" s="94" t="s">
        <v>371</v>
      </c>
      <c r="D83" s="199" t="s">
        <v>372</v>
      </c>
      <c r="E83" s="199"/>
      <c r="F83" s="94" t="s">
        <v>366</v>
      </c>
      <c r="G83" s="96">
        <v>71.153999999999996</v>
      </c>
      <c r="H83" s="97"/>
      <c r="I83" s="98">
        <v>21</v>
      </c>
      <c r="J83" s="97">
        <f t="shared" si="56"/>
        <v>0</v>
      </c>
      <c r="K83" s="97">
        <f t="shared" si="57"/>
        <v>0</v>
      </c>
      <c r="L83" s="97">
        <f t="shared" si="58"/>
        <v>0</v>
      </c>
      <c r="M83" s="97">
        <f t="shared" si="59"/>
        <v>0</v>
      </c>
      <c r="N83" s="97">
        <v>2</v>
      </c>
      <c r="O83" s="96">
        <f t="shared" si="60"/>
        <v>142.30799999999999</v>
      </c>
      <c r="P83" s="99" t="s">
        <v>156</v>
      </c>
      <c r="Z83" s="55">
        <f t="shared" si="61"/>
        <v>0</v>
      </c>
      <c r="AB83" s="55">
        <f t="shared" si="62"/>
        <v>0</v>
      </c>
      <c r="AC83" s="55">
        <f t="shared" si="63"/>
        <v>0</v>
      </c>
      <c r="AD83" s="55">
        <f t="shared" si="64"/>
        <v>0</v>
      </c>
      <c r="AE83" s="55">
        <f t="shared" si="65"/>
        <v>0</v>
      </c>
      <c r="AF83" s="55">
        <f t="shared" si="66"/>
        <v>0</v>
      </c>
      <c r="AG83" s="55">
        <f t="shared" si="67"/>
        <v>0</v>
      </c>
      <c r="AH83" s="55">
        <f t="shared" si="68"/>
        <v>0</v>
      </c>
      <c r="AI83" s="75" t="s">
        <v>103</v>
      </c>
      <c r="AJ83" s="55">
        <f t="shared" si="69"/>
        <v>0</v>
      </c>
      <c r="AK83" s="55">
        <f t="shared" si="70"/>
        <v>0</v>
      </c>
      <c r="AL83" s="55">
        <f t="shared" si="71"/>
        <v>0</v>
      </c>
      <c r="AN83" s="55">
        <v>21</v>
      </c>
      <c r="AO83" s="55">
        <f>H83*0</f>
        <v>0</v>
      </c>
      <c r="AP83" s="55">
        <f>H83*(1-0)</f>
        <v>0</v>
      </c>
      <c r="AQ83" s="54" t="s">
        <v>152</v>
      </c>
      <c r="AV83" s="55">
        <f t="shared" si="72"/>
        <v>0</v>
      </c>
      <c r="AW83" s="55">
        <f t="shared" si="73"/>
        <v>0</v>
      </c>
      <c r="AX83" s="55">
        <f t="shared" si="74"/>
        <v>0</v>
      </c>
      <c r="AY83" s="54" t="s">
        <v>329</v>
      </c>
      <c r="AZ83" s="54" t="s">
        <v>289</v>
      </c>
      <c r="BA83" s="75" t="s">
        <v>160</v>
      </c>
      <c r="BC83" s="55">
        <f t="shared" si="75"/>
        <v>0</v>
      </c>
      <c r="BD83" s="55">
        <f t="shared" si="76"/>
        <v>0</v>
      </c>
      <c r="BE83" s="55">
        <v>0</v>
      </c>
      <c r="BF83" s="55">
        <f t="shared" si="77"/>
        <v>142.30799999999999</v>
      </c>
      <c r="BH83" s="55">
        <f t="shared" si="78"/>
        <v>0</v>
      </c>
      <c r="BI83" s="55">
        <f t="shared" si="79"/>
        <v>0</v>
      </c>
      <c r="BJ83" s="55">
        <f t="shared" si="80"/>
        <v>0</v>
      </c>
      <c r="BK83" s="54" t="s">
        <v>161</v>
      </c>
      <c r="BL83" s="55">
        <v>96</v>
      </c>
      <c r="BW83" s="55">
        <f t="shared" si="81"/>
        <v>21</v>
      </c>
      <c r="BX83" s="16" t="s">
        <v>372</v>
      </c>
    </row>
    <row r="84" spans="1:76" ht="15" customHeight="1" x14ac:dyDescent="0.3">
      <c r="A84" s="94" t="s">
        <v>373</v>
      </c>
      <c r="B84" s="94" t="s">
        <v>103</v>
      </c>
      <c r="C84" s="94" t="s">
        <v>374</v>
      </c>
      <c r="D84" s="199" t="s">
        <v>375</v>
      </c>
      <c r="E84" s="199"/>
      <c r="F84" s="94" t="s">
        <v>366</v>
      </c>
      <c r="G84" s="96">
        <v>26.01</v>
      </c>
      <c r="H84" s="97"/>
      <c r="I84" s="98">
        <v>21</v>
      </c>
      <c r="J84" s="97">
        <f t="shared" si="56"/>
        <v>0</v>
      </c>
      <c r="K84" s="97">
        <f t="shared" si="57"/>
        <v>0</v>
      </c>
      <c r="L84" s="97">
        <f t="shared" si="58"/>
        <v>0</v>
      </c>
      <c r="M84" s="97">
        <f t="shared" si="59"/>
        <v>0</v>
      </c>
      <c r="N84" s="97">
        <v>2.2000000000000002</v>
      </c>
      <c r="O84" s="96">
        <f t="shared" si="60"/>
        <v>57.222000000000008</v>
      </c>
      <c r="P84" s="99" t="s">
        <v>156</v>
      </c>
      <c r="Z84" s="55">
        <f t="shared" si="61"/>
        <v>0</v>
      </c>
      <c r="AB84" s="55">
        <f t="shared" si="62"/>
        <v>0</v>
      </c>
      <c r="AC84" s="55">
        <f t="shared" si="63"/>
        <v>0</v>
      </c>
      <c r="AD84" s="55">
        <f t="shared" si="64"/>
        <v>0</v>
      </c>
      <c r="AE84" s="55">
        <f t="shared" si="65"/>
        <v>0</v>
      </c>
      <c r="AF84" s="55">
        <f t="shared" si="66"/>
        <v>0</v>
      </c>
      <c r="AG84" s="55">
        <f t="shared" si="67"/>
        <v>0</v>
      </c>
      <c r="AH84" s="55">
        <f t="shared" si="68"/>
        <v>0</v>
      </c>
      <c r="AI84" s="75" t="s">
        <v>103</v>
      </c>
      <c r="AJ84" s="55">
        <f t="shared" si="69"/>
        <v>0</v>
      </c>
      <c r="AK84" s="55">
        <f t="shared" si="70"/>
        <v>0</v>
      </c>
      <c r="AL84" s="55">
        <f t="shared" si="71"/>
        <v>0</v>
      </c>
      <c r="AN84" s="55">
        <v>21</v>
      </c>
      <c r="AO84" s="55">
        <f>H84*0</f>
        <v>0</v>
      </c>
      <c r="AP84" s="55">
        <f>H84*(1-0)</f>
        <v>0</v>
      </c>
      <c r="AQ84" s="54" t="s">
        <v>152</v>
      </c>
      <c r="AV84" s="55">
        <f t="shared" si="72"/>
        <v>0</v>
      </c>
      <c r="AW84" s="55">
        <f t="shared" si="73"/>
        <v>0</v>
      </c>
      <c r="AX84" s="55">
        <f t="shared" si="74"/>
        <v>0</v>
      </c>
      <c r="AY84" s="54" t="s">
        <v>329</v>
      </c>
      <c r="AZ84" s="54" t="s">
        <v>289</v>
      </c>
      <c r="BA84" s="75" t="s">
        <v>160</v>
      </c>
      <c r="BC84" s="55">
        <f t="shared" si="75"/>
        <v>0</v>
      </c>
      <c r="BD84" s="55">
        <f t="shared" si="76"/>
        <v>0</v>
      </c>
      <c r="BE84" s="55">
        <v>0</v>
      </c>
      <c r="BF84" s="55">
        <f t="shared" si="77"/>
        <v>57.222000000000008</v>
      </c>
      <c r="BH84" s="55">
        <f t="shared" si="78"/>
        <v>0</v>
      </c>
      <c r="BI84" s="55">
        <f t="shared" si="79"/>
        <v>0</v>
      </c>
      <c r="BJ84" s="55">
        <f t="shared" si="80"/>
        <v>0</v>
      </c>
      <c r="BK84" s="54" t="s">
        <v>161</v>
      </c>
      <c r="BL84" s="55">
        <v>96</v>
      </c>
      <c r="BW84" s="55">
        <f t="shared" si="81"/>
        <v>21</v>
      </c>
      <c r="BX84" s="16" t="s">
        <v>375</v>
      </c>
    </row>
    <row r="85" spans="1:76" ht="15" customHeight="1" x14ac:dyDescent="0.3">
      <c r="A85" s="88"/>
      <c r="B85" s="89" t="s">
        <v>103</v>
      </c>
      <c r="C85" s="89" t="s">
        <v>376</v>
      </c>
      <c r="D85" s="198" t="s">
        <v>377</v>
      </c>
      <c r="E85" s="198"/>
      <c r="F85" s="88" t="s">
        <v>96</v>
      </c>
      <c r="G85" s="90" t="s">
        <v>96</v>
      </c>
      <c r="H85" s="88"/>
      <c r="I85" s="88" t="s">
        <v>96</v>
      </c>
      <c r="J85" s="91">
        <f>SUM(J86:J88)</f>
        <v>0</v>
      </c>
      <c r="K85" s="91">
        <f>SUM(K86:K88)</f>
        <v>0</v>
      </c>
      <c r="L85" s="91">
        <f>SUM(L86:L88)</f>
        <v>0</v>
      </c>
      <c r="M85" s="91">
        <f>SUM(M86:M88)</f>
        <v>0</v>
      </c>
      <c r="N85" s="92"/>
      <c r="O85" s="93">
        <f>SUM(O86:O88)</f>
        <v>1.4974000000000001</v>
      </c>
      <c r="P85" s="92"/>
      <c r="AI85" s="75" t="s">
        <v>103</v>
      </c>
      <c r="AS85" s="68">
        <f>SUM(AJ86:AJ88)</f>
        <v>0</v>
      </c>
      <c r="AT85" s="68">
        <f>SUM(AK86:AK88)</f>
        <v>0</v>
      </c>
      <c r="AU85" s="68">
        <f>SUM(AL86:AL88)</f>
        <v>0</v>
      </c>
    </row>
    <row r="86" spans="1:76" ht="15" customHeight="1" x14ac:dyDescent="0.3">
      <c r="A86" s="94" t="s">
        <v>378</v>
      </c>
      <c r="B86" s="94" t="s">
        <v>103</v>
      </c>
      <c r="C86" s="94" t="s">
        <v>379</v>
      </c>
      <c r="D86" s="199" t="s">
        <v>380</v>
      </c>
      <c r="E86" s="199"/>
      <c r="F86" s="94" t="s">
        <v>176</v>
      </c>
      <c r="G86" s="96">
        <v>38.200000000000003</v>
      </c>
      <c r="H86" s="97"/>
      <c r="I86" s="98">
        <v>21</v>
      </c>
      <c r="J86" s="97">
        <f>ROUND(G86*AO86,2)</f>
        <v>0</v>
      </c>
      <c r="K86" s="97">
        <f>ROUND(G86*AP86,2)</f>
        <v>0</v>
      </c>
      <c r="L86" s="97">
        <f>ROUND(G86*H86,2)</f>
        <v>0</v>
      </c>
      <c r="M86" s="97">
        <f>L86*(1+BW86/100)</f>
        <v>0</v>
      </c>
      <c r="N86" s="97">
        <v>3.6999999999999998E-2</v>
      </c>
      <c r="O86" s="96">
        <f>G86*N86</f>
        <v>1.4134</v>
      </c>
      <c r="P86" s="99" t="s">
        <v>156</v>
      </c>
      <c r="Z86" s="55">
        <f>ROUND(IF(AQ86="5",BJ86,0),2)</f>
        <v>0</v>
      </c>
      <c r="AB86" s="55">
        <f>ROUND(IF(AQ86="1",BH86,0),2)</f>
        <v>0</v>
      </c>
      <c r="AC86" s="55">
        <f>ROUND(IF(AQ86="1",BI86,0),2)</f>
        <v>0</v>
      </c>
      <c r="AD86" s="55">
        <f>ROUND(IF(AQ86="7",BH86,0),2)</f>
        <v>0</v>
      </c>
      <c r="AE86" s="55">
        <f>ROUND(IF(AQ86="7",BI86,0),2)</f>
        <v>0</v>
      </c>
      <c r="AF86" s="55">
        <f>ROUND(IF(AQ86="2",BH86,0),2)</f>
        <v>0</v>
      </c>
      <c r="AG86" s="55">
        <f>ROUND(IF(AQ86="2",BI86,0),2)</f>
        <v>0</v>
      </c>
      <c r="AH86" s="55">
        <f>ROUND(IF(AQ86="0",BJ86,0),2)</f>
        <v>0</v>
      </c>
      <c r="AI86" s="75" t="s">
        <v>103</v>
      </c>
      <c r="AJ86" s="55">
        <f>IF(AN86=0,L86,0)</f>
        <v>0</v>
      </c>
      <c r="AK86" s="55">
        <f>IF(AN86=12,L86,0)</f>
        <v>0</v>
      </c>
      <c r="AL86" s="55">
        <f>IF(AN86=21,L86,0)</f>
        <v>0</v>
      </c>
      <c r="AN86" s="55">
        <v>21</v>
      </c>
      <c r="AO86" s="55">
        <f>H86*0</f>
        <v>0</v>
      </c>
      <c r="AP86" s="55">
        <f>H86*(1-0)</f>
        <v>0</v>
      </c>
      <c r="AQ86" s="54" t="s">
        <v>152</v>
      </c>
      <c r="AV86" s="55">
        <f>ROUND(AW86+AX86,2)</f>
        <v>0</v>
      </c>
      <c r="AW86" s="55">
        <f>ROUND(G86*AO86,2)</f>
        <v>0</v>
      </c>
      <c r="AX86" s="55">
        <f>ROUND(G86*AP86,2)</f>
        <v>0</v>
      </c>
      <c r="AY86" s="54" t="s">
        <v>381</v>
      </c>
      <c r="AZ86" s="54" t="s">
        <v>289</v>
      </c>
      <c r="BA86" s="75" t="s">
        <v>160</v>
      </c>
      <c r="BC86" s="55">
        <f>AW86+AX86</f>
        <v>0</v>
      </c>
      <c r="BD86" s="55">
        <f>H86/(100-BE86)*100</f>
        <v>0</v>
      </c>
      <c r="BE86" s="55">
        <v>0</v>
      </c>
      <c r="BF86" s="55">
        <f>O86</f>
        <v>1.4134</v>
      </c>
      <c r="BH86" s="55">
        <f>G86*AO86</f>
        <v>0</v>
      </c>
      <c r="BI86" s="55">
        <f>G86*AP86</f>
        <v>0</v>
      </c>
      <c r="BJ86" s="55">
        <f>G86*H86</f>
        <v>0</v>
      </c>
      <c r="BK86" s="54" t="s">
        <v>161</v>
      </c>
      <c r="BL86" s="55">
        <v>97</v>
      </c>
      <c r="BW86" s="55">
        <f>I86</f>
        <v>21</v>
      </c>
      <c r="BX86" s="16" t="s">
        <v>380</v>
      </c>
    </row>
    <row r="87" spans="1:76" ht="15" customHeight="1" x14ac:dyDescent="0.3">
      <c r="A87" s="94" t="s">
        <v>382</v>
      </c>
      <c r="B87" s="94" t="s">
        <v>103</v>
      </c>
      <c r="C87" s="94" t="s">
        <v>383</v>
      </c>
      <c r="D87" s="199" t="s">
        <v>384</v>
      </c>
      <c r="E87" s="199"/>
      <c r="F87" s="94" t="s">
        <v>176</v>
      </c>
      <c r="G87" s="96">
        <v>2</v>
      </c>
      <c r="H87" s="97"/>
      <c r="I87" s="98">
        <v>21</v>
      </c>
      <c r="J87" s="97">
        <f>ROUND(G87*AO87,2)</f>
        <v>0</v>
      </c>
      <c r="K87" s="97">
        <f>ROUND(G87*AP87,2)</f>
        <v>0</v>
      </c>
      <c r="L87" s="97">
        <f>ROUND(G87*H87,2)</f>
        <v>0</v>
      </c>
      <c r="M87" s="97">
        <f>L87*(1+BW87/100)</f>
        <v>0</v>
      </c>
      <c r="N87" s="97">
        <v>1.7000000000000001E-2</v>
      </c>
      <c r="O87" s="96">
        <f>G87*N87</f>
        <v>3.4000000000000002E-2</v>
      </c>
      <c r="P87" s="99" t="s">
        <v>156</v>
      </c>
      <c r="Z87" s="55">
        <f>ROUND(IF(AQ87="5",BJ87,0),2)</f>
        <v>0</v>
      </c>
      <c r="AB87" s="55">
        <f>ROUND(IF(AQ87="1",BH87,0),2)</f>
        <v>0</v>
      </c>
      <c r="AC87" s="55">
        <f>ROUND(IF(AQ87="1",BI87,0),2)</f>
        <v>0</v>
      </c>
      <c r="AD87" s="55">
        <f>ROUND(IF(AQ87="7",BH87,0),2)</f>
        <v>0</v>
      </c>
      <c r="AE87" s="55">
        <f>ROUND(IF(AQ87="7",BI87,0),2)</f>
        <v>0</v>
      </c>
      <c r="AF87" s="55">
        <f>ROUND(IF(AQ87="2",BH87,0),2)</f>
        <v>0</v>
      </c>
      <c r="AG87" s="55">
        <f>ROUND(IF(AQ87="2",BI87,0),2)</f>
        <v>0</v>
      </c>
      <c r="AH87" s="55">
        <f>ROUND(IF(AQ87="0",BJ87,0),2)</f>
        <v>0</v>
      </c>
      <c r="AI87" s="75" t="s">
        <v>103</v>
      </c>
      <c r="AJ87" s="55">
        <f>IF(AN87=0,L87,0)</f>
        <v>0</v>
      </c>
      <c r="AK87" s="55">
        <f>IF(AN87=12,L87,0)</f>
        <v>0</v>
      </c>
      <c r="AL87" s="55">
        <f>IF(AN87=21,L87,0)</f>
        <v>0</v>
      </c>
      <c r="AN87" s="55">
        <v>21</v>
      </c>
      <c r="AO87" s="55">
        <f>H87*0</f>
        <v>0</v>
      </c>
      <c r="AP87" s="55">
        <f>H87*(1-0)</f>
        <v>0</v>
      </c>
      <c r="AQ87" s="54" t="s">
        <v>152</v>
      </c>
      <c r="AV87" s="55">
        <f>ROUND(AW87+AX87,2)</f>
        <v>0</v>
      </c>
      <c r="AW87" s="55">
        <f>ROUND(G87*AO87,2)</f>
        <v>0</v>
      </c>
      <c r="AX87" s="55">
        <f>ROUND(G87*AP87,2)</f>
        <v>0</v>
      </c>
      <c r="AY87" s="54" t="s">
        <v>381</v>
      </c>
      <c r="AZ87" s="54" t="s">
        <v>289</v>
      </c>
      <c r="BA87" s="75" t="s">
        <v>160</v>
      </c>
      <c r="BC87" s="55">
        <f>AW87+AX87</f>
        <v>0</v>
      </c>
      <c r="BD87" s="55">
        <f>H87/(100-BE87)*100</f>
        <v>0</v>
      </c>
      <c r="BE87" s="55">
        <v>0</v>
      </c>
      <c r="BF87" s="55">
        <f>O87</f>
        <v>3.4000000000000002E-2</v>
      </c>
      <c r="BH87" s="55">
        <f>G87*AO87</f>
        <v>0</v>
      </c>
      <c r="BI87" s="55">
        <f>G87*AP87</f>
        <v>0</v>
      </c>
      <c r="BJ87" s="55">
        <f>G87*H87</f>
        <v>0</v>
      </c>
      <c r="BK87" s="54" t="s">
        <v>161</v>
      </c>
      <c r="BL87" s="55">
        <v>97</v>
      </c>
      <c r="BW87" s="55">
        <f>I87</f>
        <v>21</v>
      </c>
      <c r="BX87" s="16" t="s">
        <v>384</v>
      </c>
    </row>
    <row r="88" spans="1:76" ht="15" customHeight="1" x14ac:dyDescent="0.3">
      <c r="A88" s="94" t="s">
        <v>385</v>
      </c>
      <c r="B88" s="94" t="s">
        <v>103</v>
      </c>
      <c r="C88" s="94" t="s">
        <v>386</v>
      </c>
      <c r="D88" s="199" t="s">
        <v>387</v>
      </c>
      <c r="E88" s="199"/>
      <c r="F88" s="94" t="s">
        <v>212</v>
      </c>
      <c r="G88" s="96">
        <v>5</v>
      </c>
      <c r="H88" s="97"/>
      <c r="I88" s="98">
        <v>21</v>
      </c>
      <c r="J88" s="97">
        <f>ROUND(G88*AO88,2)</f>
        <v>0</v>
      </c>
      <c r="K88" s="97">
        <f>ROUND(G88*AP88,2)</f>
        <v>0</v>
      </c>
      <c r="L88" s="97">
        <f>ROUND(G88*H88,2)</f>
        <v>0</v>
      </c>
      <c r="M88" s="97">
        <f>L88*(1+BW88/100)</f>
        <v>0</v>
      </c>
      <c r="N88" s="97">
        <v>0.01</v>
      </c>
      <c r="O88" s="96">
        <f>G88*N88</f>
        <v>0.05</v>
      </c>
      <c r="P88" s="99" t="s">
        <v>156</v>
      </c>
      <c r="Z88" s="55">
        <f>ROUND(IF(AQ88="5",BJ88,0),2)</f>
        <v>0</v>
      </c>
      <c r="AB88" s="55">
        <f>ROUND(IF(AQ88="1",BH88,0),2)</f>
        <v>0</v>
      </c>
      <c r="AC88" s="55">
        <f>ROUND(IF(AQ88="1",BI88,0),2)</f>
        <v>0</v>
      </c>
      <c r="AD88" s="55">
        <f>ROUND(IF(AQ88="7",BH88,0),2)</f>
        <v>0</v>
      </c>
      <c r="AE88" s="55">
        <f>ROUND(IF(AQ88="7",BI88,0),2)</f>
        <v>0</v>
      </c>
      <c r="AF88" s="55">
        <f>ROUND(IF(AQ88="2",BH88,0),2)</f>
        <v>0</v>
      </c>
      <c r="AG88" s="55">
        <f>ROUND(IF(AQ88="2",BI88,0),2)</f>
        <v>0</v>
      </c>
      <c r="AH88" s="55">
        <f>ROUND(IF(AQ88="0",BJ88,0),2)</f>
        <v>0</v>
      </c>
      <c r="AI88" s="75" t="s">
        <v>103</v>
      </c>
      <c r="AJ88" s="55">
        <f>IF(AN88=0,L88,0)</f>
        <v>0</v>
      </c>
      <c r="AK88" s="55">
        <f>IF(AN88=12,L88,0)</f>
        <v>0</v>
      </c>
      <c r="AL88" s="55">
        <f>IF(AN88=21,L88,0)</f>
        <v>0</v>
      </c>
      <c r="AN88" s="55">
        <v>21</v>
      </c>
      <c r="AO88" s="55">
        <f>H88*0</f>
        <v>0</v>
      </c>
      <c r="AP88" s="55">
        <f>H88*(1-0)</f>
        <v>0</v>
      </c>
      <c r="AQ88" s="54" t="s">
        <v>152</v>
      </c>
      <c r="AV88" s="55">
        <f>ROUND(AW88+AX88,2)</f>
        <v>0</v>
      </c>
      <c r="AW88" s="55">
        <f>ROUND(G88*AO88,2)</f>
        <v>0</v>
      </c>
      <c r="AX88" s="55">
        <f>ROUND(G88*AP88,2)</f>
        <v>0</v>
      </c>
      <c r="AY88" s="54" t="s">
        <v>381</v>
      </c>
      <c r="AZ88" s="54" t="s">
        <v>289</v>
      </c>
      <c r="BA88" s="75" t="s">
        <v>160</v>
      </c>
      <c r="BC88" s="55">
        <f>AW88+AX88</f>
        <v>0</v>
      </c>
      <c r="BD88" s="55">
        <f>H88/(100-BE88)*100</f>
        <v>0</v>
      </c>
      <c r="BE88" s="55">
        <v>0</v>
      </c>
      <c r="BF88" s="55">
        <f>O88</f>
        <v>0.05</v>
      </c>
      <c r="BH88" s="55">
        <f>G88*AO88</f>
        <v>0</v>
      </c>
      <c r="BI88" s="55">
        <f>G88*AP88</f>
        <v>0</v>
      </c>
      <c r="BJ88" s="55">
        <f>G88*H88</f>
        <v>0</v>
      </c>
      <c r="BK88" s="54" t="s">
        <v>161</v>
      </c>
      <c r="BL88" s="55">
        <v>97</v>
      </c>
      <c r="BW88" s="55">
        <f>I88</f>
        <v>21</v>
      </c>
      <c r="BX88" s="16" t="s">
        <v>387</v>
      </c>
    </row>
    <row r="89" spans="1:76" ht="15" customHeight="1" x14ac:dyDescent="0.3">
      <c r="A89" s="88"/>
      <c r="B89" s="89" t="s">
        <v>103</v>
      </c>
      <c r="C89" s="89" t="s">
        <v>388</v>
      </c>
      <c r="D89" s="198" t="s">
        <v>389</v>
      </c>
      <c r="E89" s="198"/>
      <c r="F89" s="88" t="s">
        <v>96</v>
      </c>
      <c r="G89" s="90" t="s">
        <v>96</v>
      </c>
      <c r="H89" s="88"/>
      <c r="I89" s="88" t="s">
        <v>96</v>
      </c>
      <c r="J89" s="91">
        <f>SUM(J90:J92)</f>
        <v>0</v>
      </c>
      <c r="K89" s="91">
        <f>SUM(K90:K92)</f>
        <v>0</v>
      </c>
      <c r="L89" s="91">
        <f>SUM(L90:L92)</f>
        <v>0</v>
      </c>
      <c r="M89" s="91">
        <f>SUM(M90:M92)</f>
        <v>0</v>
      </c>
      <c r="N89" s="92"/>
      <c r="O89" s="93">
        <f>SUM(O90:O92)</f>
        <v>605.73071723999999</v>
      </c>
      <c r="P89" s="92"/>
      <c r="AI89" s="75" t="s">
        <v>103</v>
      </c>
      <c r="AS89" s="68">
        <f>SUM(AJ90:AJ92)</f>
        <v>0</v>
      </c>
      <c r="AT89" s="68">
        <f>SUM(AK90:AK92)</f>
        <v>0</v>
      </c>
      <c r="AU89" s="68">
        <f>SUM(AL90:AL92)</f>
        <v>0</v>
      </c>
    </row>
    <row r="90" spans="1:76" ht="23.85" customHeight="1" x14ac:dyDescent="0.3">
      <c r="A90" s="94" t="s">
        <v>390</v>
      </c>
      <c r="B90" s="94" t="s">
        <v>103</v>
      </c>
      <c r="C90" s="94" t="s">
        <v>391</v>
      </c>
      <c r="D90" s="199" t="s">
        <v>392</v>
      </c>
      <c r="E90" s="199"/>
      <c r="F90" s="94" t="s">
        <v>366</v>
      </c>
      <c r="G90" s="96">
        <v>120.14</v>
      </c>
      <c r="H90" s="97"/>
      <c r="I90" s="98">
        <v>21</v>
      </c>
      <c r="J90" s="97">
        <f>ROUND(G90*AO90,2)</f>
        <v>0</v>
      </c>
      <c r="K90" s="97">
        <f>ROUND(G90*AP90,2)</f>
        <v>0</v>
      </c>
      <c r="L90" s="97">
        <f>ROUND(G90*H90,2)</f>
        <v>0</v>
      </c>
      <c r="M90" s="97">
        <f>L90*(1+BW90/100)</f>
        <v>0</v>
      </c>
      <c r="N90" s="97">
        <v>2.4113099999999998</v>
      </c>
      <c r="O90" s="96">
        <f>G90*N90</f>
        <v>289.69478340000001</v>
      </c>
      <c r="P90" s="99" t="s">
        <v>156</v>
      </c>
      <c r="Z90" s="55">
        <f>ROUND(IF(AQ90="5",BJ90,0),2)</f>
        <v>0</v>
      </c>
      <c r="AB90" s="55">
        <f>ROUND(IF(AQ90="1",BH90,0),2)</f>
        <v>0</v>
      </c>
      <c r="AC90" s="55">
        <f>ROUND(IF(AQ90="1",BI90,0),2)</f>
        <v>0</v>
      </c>
      <c r="AD90" s="55">
        <f>ROUND(IF(AQ90="7",BH90,0),2)</f>
        <v>0</v>
      </c>
      <c r="AE90" s="55">
        <f>ROUND(IF(AQ90="7",BI90,0),2)</f>
        <v>0</v>
      </c>
      <c r="AF90" s="55">
        <f>ROUND(IF(AQ90="2",BH90,0),2)</f>
        <v>0</v>
      </c>
      <c r="AG90" s="55">
        <f>ROUND(IF(AQ90="2",BI90,0),2)</f>
        <v>0</v>
      </c>
      <c r="AH90" s="55">
        <f>ROUND(IF(AQ90="0",BJ90,0),2)</f>
        <v>0</v>
      </c>
      <c r="AI90" s="75" t="s">
        <v>103</v>
      </c>
      <c r="AJ90" s="55">
        <f>IF(AN90=0,L90,0)</f>
        <v>0</v>
      </c>
      <c r="AK90" s="55">
        <f>IF(AN90=12,L90,0)</f>
        <v>0</v>
      </c>
      <c r="AL90" s="55">
        <f>IF(AN90=21,L90,0)</f>
        <v>0</v>
      </c>
      <c r="AN90" s="55">
        <v>21</v>
      </c>
      <c r="AO90" s="55">
        <f>H90*0.002898725</f>
        <v>0</v>
      </c>
      <c r="AP90" s="55">
        <f>H90*(1-0.002898725)</f>
        <v>0</v>
      </c>
      <c r="AQ90" s="54" t="s">
        <v>152</v>
      </c>
      <c r="AV90" s="55">
        <f>ROUND(AW90+AX90,2)</f>
        <v>0</v>
      </c>
      <c r="AW90" s="55">
        <f>ROUND(G90*AO90,2)</f>
        <v>0</v>
      </c>
      <c r="AX90" s="55">
        <f>ROUND(G90*AP90,2)</f>
        <v>0</v>
      </c>
      <c r="AY90" s="54" t="s">
        <v>393</v>
      </c>
      <c r="AZ90" s="54" t="s">
        <v>289</v>
      </c>
      <c r="BA90" s="75" t="s">
        <v>160</v>
      </c>
      <c r="BC90" s="55">
        <f>AW90+AX90</f>
        <v>0</v>
      </c>
      <c r="BD90" s="55">
        <f>H90/(100-BE90)*100</f>
        <v>0</v>
      </c>
      <c r="BE90" s="55">
        <v>0</v>
      </c>
      <c r="BF90" s="55">
        <f>O90</f>
        <v>289.69478340000001</v>
      </c>
      <c r="BH90" s="55">
        <f>G90*AO90</f>
        <v>0</v>
      </c>
      <c r="BI90" s="55">
        <f>G90*AP90</f>
        <v>0</v>
      </c>
      <c r="BJ90" s="55">
        <f>G90*H90</f>
        <v>0</v>
      </c>
      <c r="BK90" s="54" t="s">
        <v>161</v>
      </c>
      <c r="BL90" s="55">
        <v>98</v>
      </c>
      <c r="BW90" s="55">
        <f>I90</f>
        <v>21</v>
      </c>
      <c r="BX90" s="16" t="s">
        <v>392</v>
      </c>
    </row>
    <row r="91" spans="1:76" ht="23.85" customHeight="1" x14ac:dyDescent="0.3">
      <c r="A91" s="94" t="s">
        <v>394</v>
      </c>
      <c r="B91" s="94" t="s">
        <v>103</v>
      </c>
      <c r="C91" s="94" t="s">
        <v>391</v>
      </c>
      <c r="D91" s="199" t="s">
        <v>395</v>
      </c>
      <c r="E91" s="199"/>
      <c r="F91" s="94" t="s">
        <v>366</v>
      </c>
      <c r="G91" s="96">
        <v>47.097999999999999</v>
      </c>
      <c r="H91" s="97"/>
      <c r="I91" s="98">
        <v>21</v>
      </c>
      <c r="J91" s="97">
        <f>ROUND(G91*AO91,2)</f>
        <v>0</v>
      </c>
      <c r="K91" s="97">
        <f>ROUND(G91*AP91,2)</f>
        <v>0</v>
      </c>
      <c r="L91" s="97">
        <f>ROUND(G91*H91,2)</f>
        <v>0</v>
      </c>
      <c r="M91" s="97">
        <f>L91*(1+BW91/100)</f>
        <v>0</v>
      </c>
      <c r="N91" s="97">
        <v>2.4113099999999998</v>
      </c>
      <c r="O91" s="96">
        <f>G91*N91</f>
        <v>113.56787838</v>
      </c>
      <c r="P91" s="99" t="s">
        <v>156</v>
      </c>
      <c r="Z91" s="55">
        <f>ROUND(IF(AQ91="5",BJ91,0),2)</f>
        <v>0</v>
      </c>
      <c r="AB91" s="55">
        <f>ROUND(IF(AQ91="1",BH91,0),2)</f>
        <v>0</v>
      </c>
      <c r="AC91" s="55">
        <f>ROUND(IF(AQ91="1",BI91,0),2)</f>
        <v>0</v>
      </c>
      <c r="AD91" s="55">
        <f>ROUND(IF(AQ91="7",BH91,0),2)</f>
        <v>0</v>
      </c>
      <c r="AE91" s="55">
        <f>ROUND(IF(AQ91="7",BI91,0),2)</f>
        <v>0</v>
      </c>
      <c r="AF91" s="55">
        <f>ROUND(IF(AQ91="2",BH91,0),2)</f>
        <v>0</v>
      </c>
      <c r="AG91" s="55">
        <f>ROUND(IF(AQ91="2",BI91,0),2)</f>
        <v>0</v>
      </c>
      <c r="AH91" s="55">
        <f>ROUND(IF(AQ91="0",BJ91,0),2)</f>
        <v>0</v>
      </c>
      <c r="AI91" s="75" t="s">
        <v>103</v>
      </c>
      <c r="AJ91" s="55">
        <f>IF(AN91=0,L91,0)</f>
        <v>0</v>
      </c>
      <c r="AK91" s="55">
        <f>IF(AN91=12,L91,0)</f>
        <v>0</v>
      </c>
      <c r="AL91" s="55">
        <f>IF(AN91=21,L91,0)</f>
        <v>0</v>
      </c>
      <c r="AN91" s="55">
        <v>21</v>
      </c>
      <c r="AO91" s="55">
        <f>H91*0.002898723</f>
        <v>0</v>
      </c>
      <c r="AP91" s="55">
        <f>H91*(1-0.002898723)</f>
        <v>0</v>
      </c>
      <c r="AQ91" s="54" t="s">
        <v>152</v>
      </c>
      <c r="AV91" s="55">
        <f>ROUND(AW91+AX91,2)</f>
        <v>0</v>
      </c>
      <c r="AW91" s="55">
        <f>ROUND(G91*AO91,2)</f>
        <v>0</v>
      </c>
      <c r="AX91" s="55">
        <f>ROUND(G91*AP91,2)</f>
        <v>0</v>
      </c>
      <c r="AY91" s="54" t="s">
        <v>393</v>
      </c>
      <c r="AZ91" s="54" t="s">
        <v>289</v>
      </c>
      <c r="BA91" s="75" t="s">
        <v>160</v>
      </c>
      <c r="BC91" s="55">
        <f>AW91+AX91</f>
        <v>0</v>
      </c>
      <c r="BD91" s="55">
        <f>H91/(100-BE91)*100</f>
        <v>0</v>
      </c>
      <c r="BE91" s="55">
        <v>0</v>
      </c>
      <c r="BF91" s="55">
        <f>O91</f>
        <v>113.56787838</v>
      </c>
      <c r="BH91" s="55">
        <f>G91*AO91</f>
        <v>0</v>
      </c>
      <c r="BI91" s="55">
        <f>G91*AP91</f>
        <v>0</v>
      </c>
      <c r="BJ91" s="55">
        <f>G91*H91</f>
        <v>0</v>
      </c>
      <c r="BK91" s="54" t="s">
        <v>161</v>
      </c>
      <c r="BL91" s="55">
        <v>98</v>
      </c>
      <c r="BW91" s="55">
        <f>I91</f>
        <v>21</v>
      </c>
      <c r="BX91" s="16" t="s">
        <v>395</v>
      </c>
    </row>
    <row r="92" spans="1:76" ht="23.85" customHeight="1" x14ac:dyDescent="0.3">
      <c r="A92" s="94" t="s">
        <v>396</v>
      </c>
      <c r="B92" s="94" t="s">
        <v>103</v>
      </c>
      <c r="C92" s="94" t="s">
        <v>391</v>
      </c>
      <c r="D92" s="199" t="s">
        <v>397</v>
      </c>
      <c r="E92" s="199"/>
      <c r="F92" s="94" t="s">
        <v>366</v>
      </c>
      <c r="G92" s="96">
        <v>83.965999999999994</v>
      </c>
      <c r="H92" s="97"/>
      <c r="I92" s="98">
        <v>21</v>
      </c>
      <c r="J92" s="97">
        <f>ROUND(G92*AO92,2)</f>
        <v>0</v>
      </c>
      <c r="K92" s="97">
        <f>ROUND(G92*AP92,2)</f>
        <v>0</v>
      </c>
      <c r="L92" s="97">
        <f>ROUND(G92*H92,2)</f>
        <v>0</v>
      </c>
      <c r="M92" s="97">
        <f>L92*(1+BW92/100)</f>
        <v>0</v>
      </c>
      <c r="N92" s="97">
        <v>2.4113099999999998</v>
      </c>
      <c r="O92" s="96">
        <f>G92*N92</f>
        <v>202.46805545999996</v>
      </c>
      <c r="P92" s="99" t="s">
        <v>156</v>
      </c>
      <c r="Z92" s="55">
        <f>ROUND(IF(AQ92="5",BJ92,0),2)</f>
        <v>0</v>
      </c>
      <c r="AB92" s="55">
        <f>ROUND(IF(AQ92="1",BH92,0),2)</f>
        <v>0</v>
      </c>
      <c r="AC92" s="55">
        <f>ROUND(IF(AQ92="1",BI92,0),2)</f>
        <v>0</v>
      </c>
      <c r="AD92" s="55">
        <f>ROUND(IF(AQ92="7",BH92,0),2)</f>
        <v>0</v>
      </c>
      <c r="AE92" s="55">
        <f>ROUND(IF(AQ92="7",BI92,0),2)</f>
        <v>0</v>
      </c>
      <c r="AF92" s="55">
        <f>ROUND(IF(AQ92="2",BH92,0),2)</f>
        <v>0</v>
      </c>
      <c r="AG92" s="55">
        <f>ROUND(IF(AQ92="2",BI92,0),2)</f>
        <v>0</v>
      </c>
      <c r="AH92" s="55">
        <f>ROUND(IF(AQ92="0",BJ92,0),2)</f>
        <v>0</v>
      </c>
      <c r="AI92" s="75" t="s">
        <v>103</v>
      </c>
      <c r="AJ92" s="55">
        <f>IF(AN92=0,L92,0)</f>
        <v>0</v>
      </c>
      <c r="AK92" s="55">
        <f>IF(AN92=12,L92,0)</f>
        <v>0</v>
      </c>
      <c r="AL92" s="55">
        <f>IF(AN92=21,L92,0)</f>
        <v>0</v>
      </c>
      <c r="AN92" s="55">
        <v>21</v>
      </c>
      <c r="AO92" s="55">
        <f>H92*0.002898727</f>
        <v>0</v>
      </c>
      <c r="AP92" s="55">
        <f>H92*(1-0.002898727)</f>
        <v>0</v>
      </c>
      <c r="AQ92" s="54" t="s">
        <v>152</v>
      </c>
      <c r="AV92" s="55">
        <f>ROUND(AW92+AX92,2)</f>
        <v>0</v>
      </c>
      <c r="AW92" s="55">
        <f>ROUND(G92*AO92,2)</f>
        <v>0</v>
      </c>
      <c r="AX92" s="55">
        <f>ROUND(G92*AP92,2)</f>
        <v>0</v>
      </c>
      <c r="AY92" s="54" t="s">
        <v>393</v>
      </c>
      <c r="AZ92" s="54" t="s">
        <v>289</v>
      </c>
      <c r="BA92" s="75" t="s">
        <v>160</v>
      </c>
      <c r="BC92" s="55">
        <f>AW92+AX92</f>
        <v>0</v>
      </c>
      <c r="BD92" s="55">
        <f>H92/(100-BE92)*100</f>
        <v>0</v>
      </c>
      <c r="BE92" s="55">
        <v>0</v>
      </c>
      <c r="BF92" s="55">
        <f>O92</f>
        <v>202.46805545999996</v>
      </c>
      <c r="BH92" s="55">
        <f>G92*AO92</f>
        <v>0</v>
      </c>
      <c r="BI92" s="55">
        <f>G92*AP92</f>
        <v>0</v>
      </c>
      <c r="BJ92" s="55">
        <f>G92*H92</f>
        <v>0</v>
      </c>
      <c r="BK92" s="54" t="s">
        <v>161</v>
      </c>
      <c r="BL92" s="55">
        <v>98</v>
      </c>
      <c r="BW92" s="55">
        <f>I92</f>
        <v>21</v>
      </c>
      <c r="BX92" s="16" t="s">
        <v>397</v>
      </c>
    </row>
    <row r="93" spans="1:76" ht="15" customHeight="1" x14ac:dyDescent="0.3">
      <c r="A93" s="88"/>
      <c r="B93" s="89" t="s">
        <v>103</v>
      </c>
      <c r="C93" s="89" t="s">
        <v>398</v>
      </c>
      <c r="D93" s="198" t="s">
        <v>399</v>
      </c>
      <c r="E93" s="198"/>
      <c r="F93" s="88" t="s">
        <v>96</v>
      </c>
      <c r="G93" s="90" t="s">
        <v>96</v>
      </c>
      <c r="H93" s="88"/>
      <c r="I93" s="88" t="s">
        <v>96</v>
      </c>
      <c r="J93" s="91">
        <f>SUM(J94:J115)</f>
        <v>0</v>
      </c>
      <c r="K93" s="91">
        <f>SUM(K94:K115)</f>
        <v>0</v>
      </c>
      <c r="L93" s="91">
        <f>SUM(L94:L115)</f>
        <v>0</v>
      </c>
      <c r="M93" s="91">
        <f>SUM(M94:M115)</f>
        <v>0</v>
      </c>
      <c r="N93" s="92"/>
      <c r="O93" s="93">
        <f>SUM(O94:O115)</f>
        <v>0</v>
      </c>
      <c r="P93" s="92"/>
      <c r="AI93" s="75" t="s">
        <v>103</v>
      </c>
      <c r="AS93" s="68">
        <f>SUM(AJ94:AJ115)</f>
        <v>0</v>
      </c>
      <c r="AT93" s="68">
        <f>SUM(AK94:AK115)</f>
        <v>0</v>
      </c>
      <c r="AU93" s="68">
        <f>SUM(AL94:AL115)</f>
        <v>0</v>
      </c>
    </row>
    <row r="94" spans="1:76" ht="23.85" customHeight="1" x14ac:dyDescent="0.3">
      <c r="A94" s="94" t="s">
        <v>400</v>
      </c>
      <c r="B94" s="94" t="s">
        <v>103</v>
      </c>
      <c r="C94" s="94" t="s">
        <v>401</v>
      </c>
      <c r="D94" s="199" t="s">
        <v>402</v>
      </c>
      <c r="E94" s="199"/>
      <c r="F94" s="94" t="s">
        <v>323</v>
      </c>
      <c r="G94" s="96">
        <v>9.4580000000000002</v>
      </c>
      <c r="H94" s="97"/>
      <c r="I94" s="98">
        <v>21</v>
      </c>
      <c r="J94" s="97">
        <f t="shared" ref="J94:J115" si="82">ROUND(G94*AO94,2)</f>
        <v>0</v>
      </c>
      <c r="K94" s="97">
        <f t="shared" ref="K94:K115" si="83">ROUND(G94*AP94,2)</f>
        <v>0</v>
      </c>
      <c r="L94" s="97">
        <f t="shared" ref="L94:L115" si="84">ROUND(G94*H94,2)</f>
        <v>0</v>
      </c>
      <c r="M94" s="97">
        <f t="shared" ref="M94:M115" si="85">L94*(1+BW94/100)</f>
        <v>0</v>
      </c>
      <c r="N94" s="97">
        <v>0</v>
      </c>
      <c r="O94" s="96">
        <f t="shared" ref="O94:O115" si="86">G94*N94</f>
        <v>0</v>
      </c>
      <c r="P94" s="99" t="s">
        <v>156</v>
      </c>
      <c r="Z94" s="55">
        <f t="shared" ref="Z94:Z115" si="87">ROUND(IF(AQ94="5",BJ94,0),2)</f>
        <v>0</v>
      </c>
      <c r="AB94" s="55">
        <f t="shared" ref="AB94:AB115" si="88">ROUND(IF(AQ94="1",BH94,0),2)</f>
        <v>0</v>
      </c>
      <c r="AC94" s="55">
        <f t="shared" ref="AC94:AC115" si="89">ROUND(IF(AQ94="1",BI94,0),2)</f>
        <v>0</v>
      </c>
      <c r="AD94" s="55">
        <f t="shared" ref="AD94:AD115" si="90">ROUND(IF(AQ94="7",BH94,0),2)</f>
        <v>0</v>
      </c>
      <c r="AE94" s="55">
        <f t="shared" ref="AE94:AE115" si="91">ROUND(IF(AQ94="7",BI94,0),2)</f>
        <v>0</v>
      </c>
      <c r="AF94" s="55">
        <f t="shared" ref="AF94:AF115" si="92">ROUND(IF(AQ94="2",BH94,0),2)</f>
        <v>0</v>
      </c>
      <c r="AG94" s="55">
        <f t="shared" ref="AG94:AG115" si="93">ROUND(IF(AQ94="2",BI94,0),2)</f>
        <v>0</v>
      </c>
      <c r="AH94" s="55">
        <f t="shared" ref="AH94:AH115" si="94">ROUND(IF(AQ94="0",BJ94,0),2)</f>
        <v>0</v>
      </c>
      <c r="AI94" s="75" t="s">
        <v>103</v>
      </c>
      <c r="AJ94" s="55">
        <f t="shared" ref="AJ94:AJ115" si="95">IF(AN94=0,L94,0)</f>
        <v>0</v>
      </c>
      <c r="AK94" s="55">
        <f t="shared" ref="AK94:AK115" si="96">IF(AN94=12,L94,0)</f>
        <v>0</v>
      </c>
      <c r="AL94" s="55">
        <f t="shared" ref="AL94:AL115" si="97">IF(AN94=21,L94,0)</f>
        <v>0</v>
      </c>
      <c r="AN94" s="55">
        <v>21</v>
      </c>
      <c r="AO94" s="55">
        <f t="shared" ref="AO94:AO115" si="98">H94*0</f>
        <v>0</v>
      </c>
      <c r="AP94" s="55">
        <f t="shared" ref="AP94:AP115" si="99">H94*(1-0)</f>
        <v>0</v>
      </c>
      <c r="AQ94" s="54" t="s">
        <v>179</v>
      </c>
      <c r="AV94" s="55">
        <f t="shared" ref="AV94:AV115" si="100">ROUND(AW94+AX94,2)</f>
        <v>0</v>
      </c>
      <c r="AW94" s="55">
        <f t="shared" ref="AW94:AW115" si="101">ROUND(G94*AO94,2)</f>
        <v>0</v>
      </c>
      <c r="AX94" s="55">
        <f t="shared" ref="AX94:AX115" si="102">ROUND(G94*AP94,2)</f>
        <v>0</v>
      </c>
      <c r="AY94" s="54" t="s">
        <v>403</v>
      </c>
      <c r="AZ94" s="54" t="s">
        <v>289</v>
      </c>
      <c r="BA94" s="75" t="s">
        <v>160</v>
      </c>
      <c r="BC94" s="55">
        <f t="shared" ref="BC94:BC115" si="103">AW94+AX94</f>
        <v>0</v>
      </c>
      <c r="BD94" s="55">
        <f t="shared" ref="BD94:BD115" si="104">H94/(100-BE94)*100</f>
        <v>0</v>
      </c>
      <c r="BE94" s="55">
        <v>0</v>
      </c>
      <c r="BF94" s="55">
        <f t="shared" ref="BF94:BF115" si="105">O94</f>
        <v>0</v>
      </c>
      <c r="BH94" s="55">
        <f t="shared" ref="BH94:BH115" si="106">G94*AO94</f>
        <v>0</v>
      </c>
      <c r="BI94" s="55">
        <f t="shared" ref="BI94:BI115" si="107">G94*AP94</f>
        <v>0</v>
      </c>
      <c r="BJ94" s="55">
        <f t="shared" ref="BJ94:BJ115" si="108">G94*H94</f>
        <v>0</v>
      </c>
      <c r="BK94" s="54" t="s">
        <v>161</v>
      </c>
      <c r="BL94" s="55"/>
      <c r="BW94" s="55">
        <f t="shared" ref="BW94:BW115" si="109">I94</f>
        <v>21</v>
      </c>
      <c r="BX94" s="16" t="s">
        <v>402</v>
      </c>
    </row>
    <row r="95" spans="1:76" ht="23.85" customHeight="1" x14ac:dyDescent="0.3">
      <c r="A95" s="94" t="s">
        <v>404</v>
      </c>
      <c r="B95" s="94" t="s">
        <v>103</v>
      </c>
      <c r="C95" s="94" t="s">
        <v>405</v>
      </c>
      <c r="D95" s="199" t="s">
        <v>406</v>
      </c>
      <c r="E95" s="199"/>
      <c r="F95" s="94" t="s">
        <v>323</v>
      </c>
      <c r="G95" s="96">
        <v>199.53</v>
      </c>
      <c r="H95" s="97"/>
      <c r="I95" s="98">
        <v>21</v>
      </c>
      <c r="J95" s="97">
        <f t="shared" si="82"/>
        <v>0</v>
      </c>
      <c r="K95" s="97">
        <f t="shared" si="83"/>
        <v>0</v>
      </c>
      <c r="L95" s="97">
        <f t="shared" si="84"/>
        <v>0</v>
      </c>
      <c r="M95" s="97">
        <f t="shared" si="85"/>
        <v>0</v>
      </c>
      <c r="N95" s="97">
        <v>0</v>
      </c>
      <c r="O95" s="96">
        <f t="shared" si="86"/>
        <v>0</v>
      </c>
      <c r="P95" s="99" t="s">
        <v>156</v>
      </c>
      <c r="Z95" s="55">
        <f t="shared" si="87"/>
        <v>0</v>
      </c>
      <c r="AB95" s="55">
        <f t="shared" si="88"/>
        <v>0</v>
      </c>
      <c r="AC95" s="55">
        <f t="shared" si="89"/>
        <v>0</v>
      </c>
      <c r="AD95" s="55">
        <f t="shared" si="90"/>
        <v>0</v>
      </c>
      <c r="AE95" s="55">
        <f t="shared" si="91"/>
        <v>0</v>
      </c>
      <c r="AF95" s="55">
        <f t="shared" si="92"/>
        <v>0</v>
      </c>
      <c r="AG95" s="55">
        <f t="shared" si="93"/>
        <v>0</v>
      </c>
      <c r="AH95" s="55">
        <f t="shared" si="94"/>
        <v>0</v>
      </c>
      <c r="AI95" s="75" t="s">
        <v>103</v>
      </c>
      <c r="AJ95" s="55">
        <f t="shared" si="95"/>
        <v>0</v>
      </c>
      <c r="AK95" s="55">
        <f t="shared" si="96"/>
        <v>0</v>
      </c>
      <c r="AL95" s="55">
        <f t="shared" si="97"/>
        <v>0</v>
      </c>
      <c r="AN95" s="55">
        <v>21</v>
      </c>
      <c r="AO95" s="55">
        <f t="shared" si="98"/>
        <v>0</v>
      </c>
      <c r="AP95" s="55">
        <f t="shared" si="99"/>
        <v>0</v>
      </c>
      <c r="AQ95" s="54" t="s">
        <v>179</v>
      </c>
      <c r="AV95" s="55">
        <f t="shared" si="100"/>
        <v>0</v>
      </c>
      <c r="AW95" s="55">
        <f t="shared" si="101"/>
        <v>0</v>
      </c>
      <c r="AX95" s="55">
        <f t="shared" si="102"/>
        <v>0</v>
      </c>
      <c r="AY95" s="54" t="s">
        <v>403</v>
      </c>
      <c r="AZ95" s="54" t="s">
        <v>289</v>
      </c>
      <c r="BA95" s="75" t="s">
        <v>160</v>
      </c>
      <c r="BC95" s="55">
        <f t="shared" si="103"/>
        <v>0</v>
      </c>
      <c r="BD95" s="55">
        <f t="shared" si="104"/>
        <v>0</v>
      </c>
      <c r="BE95" s="55">
        <v>0</v>
      </c>
      <c r="BF95" s="55">
        <f t="shared" si="105"/>
        <v>0</v>
      </c>
      <c r="BH95" s="55">
        <f t="shared" si="106"/>
        <v>0</v>
      </c>
      <c r="BI95" s="55">
        <f t="shared" si="107"/>
        <v>0</v>
      </c>
      <c r="BJ95" s="55">
        <f t="shared" si="108"/>
        <v>0</v>
      </c>
      <c r="BK95" s="54" t="s">
        <v>161</v>
      </c>
      <c r="BL95" s="55"/>
      <c r="BW95" s="55">
        <f t="shared" si="109"/>
        <v>21</v>
      </c>
      <c r="BX95" s="16" t="s">
        <v>406</v>
      </c>
    </row>
    <row r="96" spans="1:76" ht="15" customHeight="1" x14ac:dyDescent="0.3">
      <c r="A96" s="94" t="s">
        <v>407</v>
      </c>
      <c r="B96" s="94" t="s">
        <v>103</v>
      </c>
      <c r="C96" s="94" t="s">
        <v>408</v>
      </c>
      <c r="D96" s="199" t="s">
        <v>409</v>
      </c>
      <c r="E96" s="199"/>
      <c r="F96" s="94" t="s">
        <v>323</v>
      </c>
      <c r="G96" s="96">
        <v>23.247</v>
      </c>
      <c r="H96" s="97"/>
      <c r="I96" s="98">
        <v>21</v>
      </c>
      <c r="J96" s="97">
        <f t="shared" si="82"/>
        <v>0</v>
      </c>
      <c r="K96" s="97">
        <f t="shared" si="83"/>
        <v>0</v>
      </c>
      <c r="L96" s="97">
        <f t="shared" si="84"/>
        <v>0</v>
      </c>
      <c r="M96" s="97">
        <f t="shared" si="85"/>
        <v>0</v>
      </c>
      <c r="N96" s="97">
        <v>0</v>
      </c>
      <c r="O96" s="96">
        <f t="shared" si="86"/>
        <v>0</v>
      </c>
      <c r="P96" s="99" t="s">
        <v>156</v>
      </c>
      <c r="Z96" s="55">
        <f t="shared" si="87"/>
        <v>0</v>
      </c>
      <c r="AB96" s="55">
        <f t="shared" si="88"/>
        <v>0</v>
      </c>
      <c r="AC96" s="55">
        <f t="shared" si="89"/>
        <v>0</v>
      </c>
      <c r="AD96" s="55">
        <f t="shared" si="90"/>
        <v>0</v>
      </c>
      <c r="AE96" s="55">
        <f t="shared" si="91"/>
        <v>0</v>
      </c>
      <c r="AF96" s="55">
        <f t="shared" si="92"/>
        <v>0</v>
      </c>
      <c r="AG96" s="55">
        <f t="shared" si="93"/>
        <v>0</v>
      </c>
      <c r="AH96" s="55">
        <f t="shared" si="94"/>
        <v>0</v>
      </c>
      <c r="AI96" s="75" t="s">
        <v>103</v>
      </c>
      <c r="AJ96" s="55">
        <f t="shared" si="95"/>
        <v>0</v>
      </c>
      <c r="AK96" s="55">
        <f t="shared" si="96"/>
        <v>0</v>
      </c>
      <c r="AL96" s="55">
        <f t="shared" si="97"/>
        <v>0</v>
      </c>
      <c r="AN96" s="55">
        <v>21</v>
      </c>
      <c r="AO96" s="55">
        <f t="shared" si="98"/>
        <v>0</v>
      </c>
      <c r="AP96" s="55">
        <f t="shared" si="99"/>
        <v>0</v>
      </c>
      <c r="AQ96" s="54" t="s">
        <v>179</v>
      </c>
      <c r="AV96" s="55">
        <f t="shared" si="100"/>
        <v>0</v>
      </c>
      <c r="AW96" s="55">
        <f t="shared" si="101"/>
        <v>0</v>
      </c>
      <c r="AX96" s="55">
        <f t="shared" si="102"/>
        <v>0</v>
      </c>
      <c r="AY96" s="54" t="s">
        <v>403</v>
      </c>
      <c r="AZ96" s="54" t="s">
        <v>289</v>
      </c>
      <c r="BA96" s="75" t="s">
        <v>160</v>
      </c>
      <c r="BC96" s="55">
        <f t="shared" si="103"/>
        <v>0</v>
      </c>
      <c r="BD96" s="55">
        <f t="shared" si="104"/>
        <v>0</v>
      </c>
      <c r="BE96" s="55">
        <v>0</v>
      </c>
      <c r="BF96" s="55">
        <f t="shared" si="105"/>
        <v>0</v>
      </c>
      <c r="BH96" s="55">
        <f t="shared" si="106"/>
        <v>0</v>
      </c>
      <c r="BI96" s="55">
        <f t="shared" si="107"/>
        <v>0</v>
      </c>
      <c r="BJ96" s="55">
        <f t="shared" si="108"/>
        <v>0</v>
      </c>
      <c r="BK96" s="54" t="s">
        <v>161</v>
      </c>
      <c r="BL96" s="55"/>
      <c r="BW96" s="55">
        <f t="shared" si="109"/>
        <v>21</v>
      </c>
      <c r="BX96" s="16" t="s">
        <v>409</v>
      </c>
    </row>
    <row r="97" spans="1:76" ht="23.85" customHeight="1" x14ac:dyDescent="0.3">
      <c r="A97" s="94" t="s">
        <v>410</v>
      </c>
      <c r="B97" s="94" t="s">
        <v>103</v>
      </c>
      <c r="C97" s="94" t="s">
        <v>411</v>
      </c>
      <c r="D97" s="199" t="s">
        <v>412</v>
      </c>
      <c r="E97" s="199"/>
      <c r="F97" s="94" t="s">
        <v>323</v>
      </c>
      <c r="G97" s="96">
        <v>0.27</v>
      </c>
      <c r="H97" s="97"/>
      <c r="I97" s="98">
        <v>21</v>
      </c>
      <c r="J97" s="97">
        <f t="shared" si="82"/>
        <v>0</v>
      </c>
      <c r="K97" s="97">
        <f t="shared" si="83"/>
        <v>0</v>
      </c>
      <c r="L97" s="97">
        <f t="shared" si="84"/>
        <v>0</v>
      </c>
      <c r="M97" s="97">
        <f t="shared" si="85"/>
        <v>0</v>
      </c>
      <c r="N97" s="97">
        <v>0</v>
      </c>
      <c r="O97" s="96">
        <f t="shared" si="86"/>
        <v>0</v>
      </c>
      <c r="P97" s="99" t="s">
        <v>156</v>
      </c>
      <c r="Z97" s="55">
        <f t="shared" si="87"/>
        <v>0</v>
      </c>
      <c r="AB97" s="55">
        <f t="shared" si="88"/>
        <v>0</v>
      </c>
      <c r="AC97" s="55">
        <f t="shared" si="89"/>
        <v>0</v>
      </c>
      <c r="AD97" s="55">
        <f t="shared" si="90"/>
        <v>0</v>
      </c>
      <c r="AE97" s="55">
        <f t="shared" si="91"/>
        <v>0</v>
      </c>
      <c r="AF97" s="55">
        <f t="shared" si="92"/>
        <v>0</v>
      </c>
      <c r="AG97" s="55">
        <f t="shared" si="93"/>
        <v>0</v>
      </c>
      <c r="AH97" s="55">
        <f t="shared" si="94"/>
        <v>0</v>
      </c>
      <c r="AI97" s="75" t="s">
        <v>103</v>
      </c>
      <c r="AJ97" s="55">
        <f t="shared" si="95"/>
        <v>0</v>
      </c>
      <c r="AK97" s="55">
        <f t="shared" si="96"/>
        <v>0</v>
      </c>
      <c r="AL97" s="55">
        <f t="shared" si="97"/>
        <v>0</v>
      </c>
      <c r="AN97" s="55">
        <v>21</v>
      </c>
      <c r="AO97" s="55">
        <f t="shared" si="98"/>
        <v>0</v>
      </c>
      <c r="AP97" s="55">
        <f t="shared" si="99"/>
        <v>0</v>
      </c>
      <c r="AQ97" s="54" t="s">
        <v>179</v>
      </c>
      <c r="AV97" s="55">
        <f t="shared" si="100"/>
        <v>0</v>
      </c>
      <c r="AW97" s="55">
        <f t="shared" si="101"/>
        <v>0</v>
      </c>
      <c r="AX97" s="55">
        <f t="shared" si="102"/>
        <v>0</v>
      </c>
      <c r="AY97" s="54" t="s">
        <v>403</v>
      </c>
      <c r="AZ97" s="54" t="s">
        <v>289</v>
      </c>
      <c r="BA97" s="75" t="s">
        <v>160</v>
      </c>
      <c r="BC97" s="55">
        <f t="shared" si="103"/>
        <v>0</v>
      </c>
      <c r="BD97" s="55">
        <f t="shared" si="104"/>
        <v>0</v>
      </c>
      <c r="BE97" s="55">
        <v>0</v>
      </c>
      <c r="BF97" s="55">
        <f t="shared" si="105"/>
        <v>0</v>
      </c>
      <c r="BH97" s="55">
        <f t="shared" si="106"/>
        <v>0</v>
      </c>
      <c r="BI97" s="55">
        <f t="shared" si="107"/>
        <v>0</v>
      </c>
      <c r="BJ97" s="55">
        <f t="shared" si="108"/>
        <v>0</v>
      </c>
      <c r="BK97" s="54" t="s">
        <v>161</v>
      </c>
      <c r="BL97" s="55"/>
      <c r="BW97" s="55">
        <f t="shared" si="109"/>
        <v>21</v>
      </c>
      <c r="BX97" s="16" t="s">
        <v>412</v>
      </c>
    </row>
    <row r="98" spans="1:76" ht="23.85" customHeight="1" x14ac:dyDescent="0.3">
      <c r="A98" s="94" t="s">
        <v>413</v>
      </c>
      <c r="B98" s="94" t="s">
        <v>103</v>
      </c>
      <c r="C98" s="94" t="s">
        <v>414</v>
      </c>
      <c r="D98" s="199" t="s">
        <v>415</v>
      </c>
      <c r="E98" s="199"/>
      <c r="F98" s="94" t="s">
        <v>323</v>
      </c>
      <c r="G98" s="96">
        <v>2.61</v>
      </c>
      <c r="H98" s="97"/>
      <c r="I98" s="98">
        <v>21</v>
      </c>
      <c r="J98" s="97">
        <f t="shared" si="82"/>
        <v>0</v>
      </c>
      <c r="K98" s="97">
        <f t="shared" si="83"/>
        <v>0</v>
      </c>
      <c r="L98" s="97">
        <f t="shared" si="84"/>
        <v>0</v>
      </c>
      <c r="M98" s="97">
        <f t="shared" si="85"/>
        <v>0</v>
      </c>
      <c r="N98" s="97">
        <v>0</v>
      </c>
      <c r="O98" s="96">
        <f t="shared" si="86"/>
        <v>0</v>
      </c>
      <c r="P98" s="99" t="s">
        <v>156</v>
      </c>
      <c r="Z98" s="55">
        <f t="shared" si="87"/>
        <v>0</v>
      </c>
      <c r="AB98" s="55">
        <f t="shared" si="88"/>
        <v>0</v>
      </c>
      <c r="AC98" s="55">
        <f t="shared" si="89"/>
        <v>0</v>
      </c>
      <c r="AD98" s="55">
        <f t="shared" si="90"/>
        <v>0</v>
      </c>
      <c r="AE98" s="55">
        <f t="shared" si="91"/>
        <v>0</v>
      </c>
      <c r="AF98" s="55">
        <f t="shared" si="92"/>
        <v>0</v>
      </c>
      <c r="AG98" s="55">
        <f t="shared" si="93"/>
        <v>0</v>
      </c>
      <c r="AH98" s="55">
        <f t="shared" si="94"/>
        <v>0</v>
      </c>
      <c r="AI98" s="75" t="s">
        <v>103</v>
      </c>
      <c r="AJ98" s="55">
        <f t="shared" si="95"/>
        <v>0</v>
      </c>
      <c r="AK98" s="55">
        <f t="shared" si="96"/>
        <v>0</v>
      </c>
      <c r="AL98" s="55">
        <f t="shared" si="97"/>
        <v>0</v>
      </c>
      <c r="AN98" s="55">
        <v>21</v>
      </c>
      <c r="AO98" s="55">
        <f t="shared" si="98"/>
        <v>0</v>
      </c>
      <c r="AP98" s="55">
        <f t="shared" si="99"/>
        <v>0</v>
      </c>
      <c r="AQ98" s="54" t="s">
        <v>179</v>
      </c>
      <c r="AV98" s="55">
        <f t="shared" si="100"/>
        <v>0</v>
      </c>
      <c r="AW98" s="55">
        <f t="shared" si="101"/>
        <v>0</v>
      </c>
      <c r="AX98" s="55">
        <f t="shared" si="102"/>
        <v>0</v>
      </c>
      <c r="AY98" s="54" t="s">
        <v>403</v>
      </c>
      <c r="AZ98" s="54" t="s">
        <v>289</v>
      </c>
      <c r="BA98" s="75" t="s">
        <v>160</v>
      </c>
      <c r="BC98" s="55">
        <f t="shared" si="103"/>
        <v>0</v>
      </c>
      <c r="BD98" s="55">
        <f t="shared" si="104"/>
        <v>0</v>
      </c>
      <c r="BE98" s="55">
        <v>0</v>
      </c>
      <c r="BF98" s="55">
        <f t="shared" si="105"/>
        <v>0</v>
      </c>
      <c r="BH98" s="55">
        <f t="shared" si="106"/>
        <v>0</v>
      </c>
      <c r="BI98" s="55">
        <f t="shared" si="107"/>
        <v>0</v>
      </c>
      <c r="BJ98" s="55">
        <f t="shared" si="108"/>
        <v>0</v>
      </c>
      <c r="BK98" s="54" t="s">
        <v>161</v>
      </c>
      <c r="BL98" s="55"/>
      <c r="BW98" s="55">
        <f t="shared" si="109"/>
        <v>21</v>
      </c>
      <c r="BX98" s="16" t="s">
        <v>415</v>
      </c>
    </row>
    <row r="99" spans="1:76" ht="23.85" customHeight="1" x14ac:dyDescent="0.3">
      <c r="A99" s="94" t="s">
        <v>416</v>
      </c>
      <c r="B99" s="94" t="s">
        <v>103</v>
      </c>
      <c r="C99" s="94" t="s">
        <v>417</v>
      </c>
      <c r="D99" s="199" t="s">
        <v>418</v>
      </c>
      <c r="E99" s="199"/>
      <c r="F99" s="94" t="s">
        <v>323</v>
      </c>
      <c r="G99" s="96">
        <v>1.7150000000000001</v>
      </c>
      <c r="H99" s="97"/>
      <c r="I99" s="98">
        <v>21</v>
      </c>
      <c r="J99" s="97">
        <f t="shared" si="82"/>
        <v>0</v>
      </c>
      <c r="K99" s="97">
        <f t="shared" si="83"/>
        <v>0</v>
      </c>
      <c r="L99" s="97">
        <f t="shared" si="84"/>
        <v>0</v>
      </c>
      <c r="M99" s="97">
        <f t="shared" si="85"/>
        <v>0</v>
      </c>
      <c r="N99" s="97">
        <v>0</v>
      </c>
      <c r="O99" s="96">
        <f t="shared" si="86"/>
        <v>0</v>
      </c>
      <c r="P99" s="99" t="s">
        <v>156</v>
      </c>
      <c r="Z99" s="55">
        <f t="shared" si="87"/>
        <v>0</v>
      </c>
      <c r="AB99" s="55">
        <f t="shared" si="88"/>
        <v>0</v>
      </c>
      <c r="AC99" s="55">
        <f t="shared" si="89"/>
        <v>0</v>
      </c>
      <c r="AD99" s="55">
        <f t="shared" si="90"/>
        <v>0</v>
      </c>
      <c r="AE99" s="55">
        <f t="shared" si="91"/>
        <v>0</v>
      </c>
      <c r="AF99" s="55">
        <f t="shared" si="92"/>
        <v>0</v>
      </c>
      <c r="AG99" s="55">
        <f t="shared" si="93"/>
        <v>0</v>
      </c>
      <c r="AH99" s="55">
        <f t="shared" si="94"/>
        <v>0</v>
      </c>
      <c r="AI99" s="75" t="s">
        <v>103</v>
      </c>
      <c r="AJ99" s="55">
        <f t="shared" si="95"/>
        <v>0</v>
      </c>
      <c r="AK99" s="55">
        <f t="shared" si="96"/>
        <v>0</v>
      </c>
      <c r="AL99" s="55">
        <f t="shared" si="97"/>
        <v>0</v>
      </c>
      <c r="AN99" s="55">
        <v>21</v>
      </c>
      <c r="AO99" s="55">
        <f t="shared" si="98"/>
        <v>0</v>
      </c>
      <c r="AP99" s="55">
        <f t="shared" si="99"/>
        <v>0</v>
      </c>
      <c r="AQ99" s="54" t="s">
        <v>179</v>
      </c>
      <c r="AV99" s="55">
        <f t="shared" si="100"/>
        <v>0</v>
      </c>
      <c r="AW99" s="55">
        <f t="shared" si="101"/>
        <v>0</v>
      </c>
      <c r="AX99" s="55">
        <f t="shared" si="102"/>
        <v>0</v>
      </c>
      <c r="AY99" s="54" t="s">
        <v>403</v>
      </c>
      <c r="AZ99" s="54" t="s">
        <v>289</v>
      </c>
      <c r="BA99" s="75" t="s">
        <v>160</v>
      </c>
      <c r="BC99" s="55">
        <f t="shared" si="103"/>
        <v>0</v>
      </c>
      <c r="BD99" s="55">
        <f t="shared" si="104"/>
        <v>0</v>
      </c>
      <c r="BE99" s="55">
        <v>0</v>
      </c>
      <c r="BF99" s="55">
        <f t="shared" si="105"/>
        <v>0</v>
      </c>
      <c r="BH99" s="55">
        <f t="shared" si="106"/>
        <v>0</v>
      </c>
      <c r="BI99" s="55">
        <f t="shared" si="107"/>
        <v>0</v>
      </c>
      <c r="BJ99" s="55">
        <f t="shared" si="108"/>
        <v>0</v>
      </c>
      <c r="BK99" s="54" t="s">
        <v>161</v>
      </c>
      <c r="BL99" s="55"/>
      <c r="BW99" s="55">
        <f t="shared" si="109"/>
        <v>21</v>
      </c>
      <c r="BX99" s="16" t="s">
        <v>418</v>
      </c>
    </row>
    <row r="100" spans="1:76" ht="23.85" customHeight="1" x14ac:dyDescent="0.3">
      <c r="A100" s="94" t="s">
        <v>419</v>
      </c>
      <c r="B100" s="94" t="s">
        <v>103</v>
      </c>
      <c r="C100" s="94" t="s">
        <v>420</v>
      </c>
      <c r="D100" s="199" t="s">
        <v>421</v>
      </c>
      <c r="E100" s="199"/>
      <c r="F100" s="94" t="s">
        <v>323</v>
      </c>
      <c r="G100" s="96">
        <v>0.55300000000000005</v>
      </c>
      <c r="H100" s="97"/>
      <c r="I100" s="98">
        <v>21</v>
      </c>
      <c r="J100" s="97">
        <f t="shared" si="82"/>
        <v>0</v>
      </c>
      <c r="K100" s="97">
        <f t="shared" si="83"/>
        <v>0</v>
      </c>
      <c r="L100" s="97">
        <f t="shared" si="84"/>
        <v>0</v>
      </c>
      <c r="M100" s="97">
        <f t="shared" si="85"/>
        <v>0</v>
      </c>
      <c r="N100" s="97">
        <v>0</v>
      </c>
      <c r="O100" s="96">
        <f t="shared" si="86"/>
        <v>0</v>
      </c>
      <c r="P100" s="99" t="s">
        <v>156</v>
      </c>
      <c r="Z100" s="55">
        <f t="shared" si="87"/>
        <v>0</v>
      </c>
      <c r="AB100" s="55">
        <f t="shared" si="88"/>
        <v>0</v>
      </c>
      <c r="AC100" s="55">
        <f t="shared" si="89"/>
        <v>0</v>
      </c>
      <c r="AD100" s="55">
        <f t="shared" si="90"/>
        <v>0</v>
      </c>
      <c r="AE100" s="55">
        <f t="shared" si="91"/>
        <v>0</v>
      </c>
      <c r="AF100" s="55">
        <f t="shared" si="92"/>
        <v>0</v>
      </c>
      <c r="AG100" s="55">
        <f t="shared" si="93"/>
        <v>0</v>
      </c>
      <c r="AH100" s="55">
        <f t="shared" si="94"/>
        <v>0</v>
      </c>
      <c r="AI100" s="75" t="s">
        <v>103</v>
      </c>
      <c r="AJ100" s="55">
        <f t="shared" si="95"/>
        <v>0</v>
      </c>
      <c r="AK100" s="55">
        <f t="shared" si="96"/>
        <v>0</v>
      </c>
      <c r="AL100" s="55">
        <f t="shared" si="97"/>
        <v>0</v>
      </c>
      <c r="AN100" s="55">
        <v>21</v>
      </c>
      <c r="AO100" s="55">
        <f t="shared" si="98"/>
        <v>0</v>
      </c>
      <c r="AP100" s="55">
        <f t="shared" si="99"/>
        <v>0</v>
      </c>
      <c r="AQ100" s="54" t="s">
        <v>179</v>
      </c>
      <c r="AV100" s="55">
        <f t="shared" si="100"/>
        <v>0</v>
      </c>
      <c r="AW100" s="55">
        <f t="shared" si="101"/>
        <v>0</v>
      </c>
      <c r="AX100" s="55">
        <f t="shared" si="102"/>
        <v>0</v>
      </c>
      <c r="AY100" s="54" t="s">
        <v>403</v>
      </c>
      <c r="AZ100" s="54" t="s">
        <v>289</v>
      </c>
      <c r="BA100" s="75" t="s">
        <v>160</v>
      </c>
      <c r="BC100" s="55">
        <f t="shared" si="103"/>
        <v>0</v>
      </c>
      <c r="BD100" s="55">
        <f t="shared" si="104"/>
        <v>0</v>
      </c>
      <c r="BE100" s="55">
        <v>0</v>
      </c>
      <c r="BF100" s="55">
        <f t="shared" si="105"/>
        <v>0</v>
      </c>
      <c r="BH100" s="55">
        <f t="shared" si="106"/>
        <v>0</v>
      </c>
      <c r="BI100" s="55">
        <f t="shared" si="107"/>
        <v>0</v>
      </c>
      <c r="BJ100" s="55">
        <f t="shared" si="108"/>
        <v>0</v>
      </c>
      <c r="BK100" s="54" t="s">
        <v>161</v>
      </c>
      <c r="BL100" s="55"/>
      <c r="BW100" s="55">
        <f t="shared" si="109"/>
        <v>21</v>
      </c>
      <c r="BX100" s="16" t="s">
        <v>421</v>
      </c>
    </row>
    <row r="101" spans="1:76" ht="15" customHeight="1" x14ac:dyDescent="0.3">
      <c r="A101" s="94" t="s">
        <v>422</v>
      </c>
      <c r="B101" s="94" t="s">
        <v>103</v>
      </c>
      <c r="C101" s="94" t="s">
        <v>423</v>
      </c>
      <c r="D101" s="199" t="s">
        <v>424</v>
      </c>
      <c r="E101" s="199"/>
      <c r="F101" s="94" t="s">
        <v>323</v>
      </c>
      <c r="G101" s="96">
        <v>2.5539999999999998</v>
      </c>
      <c r="H101" s="97"/>
      <c r="I101" s="98">
        <v>21</v>
      </c>
      <c r="J101" s="97">
        <f t="shared" si="82"/>
        <v>0</v>
      </c>
      <c r="K101" s="97">
        <f t="shared" si="83"/>
        <v>0</v>
      </c>
      <c r="L101" s="97">
        <f t="shared" si="84"/>
        <v>0</v>
      </c>
      <c r="M101" s="97">
        <f t="shared" si="85"/>
        <v>0</v>
      </c>
      <c r="N101" s="97">
        <v>0</v>
      </c>
      <c r="O101" s="96">
        <f t="shared" si="86"/>
        <v>0</v>
      </c>
      <c r="P101" s="99" t="s">
        <v>156</v>
      </c>
      <c r="Z101" s="55">
        <f t="shared" si="87"/>
        <v>0</v>
      </c>
      <c r="AB101" s="55">
        <f t="shared" si="88"/>
        <v>0</v>
      </c>
      <c r="AC101" s="55">
        <f t="shared" si="89"/>
        <v>0</v>
      </c>
      <c r="AD101" s="55">
        <f t="shared" si="90"/>
        <v>0</v>
      </c>
      <c r="AE101" s="55">
        <f t="shared" si="91"/>
        <v>0</v>
      </c>
      <c r="AF101" s="55">
        <f t="shared" si="92"/>
        <v>0</v>
      </c>
      <c r="AG101" s="55">
        <f t="shared" si="93"/>
        <v>0</v>
      </c>
      <c r="AH101" s="55">
        <f t="shared" si="94"/>
        <v>0</v>
      </c>
      <c r="AI101" s="75" t="s">
        <v>103</v>
      </c>
      <c r="AJ101" s="55">
        <f t="shared" si="95"/>
        <v>0</v>
      </c>
      <c r="AK101" s="55">
        <f t="shared" si="96"/>
        <v>0</v>
      </c>
      <c r="AL101" s="55">
        <f t="shared" si="97"/>
        <v>0</v>
      </c>
      <c r="AN101" s="55">
        <v>21</v>
      </c>
      <c r="AO101" s="55">
        <f t="shared" si="98"/>
        <v>0</v>
      </c>
      <c r="AP101" s="55">
        <f t="shared" si="99"/>
        <v>0</v>
      </c>
      <c r="AQ101" s="54" t="s">
        <v>179</v>
      </c>
      <c r="AV101" s="55">
        <f t="shared" si="100"/>
        <v>0</v>
      </c>
      <c r="AW101" s="55">
        <f t="shared" si="101"/>
        <v>0</v>
      </c>
      <c r="AX101" s="55">
        <f t="shared" si="102"/>
        <v>0</v>
      </c>
      <c r="AY101" s="54" t="s">
        <v>403</v>
      </c>
      <c r="AZ101" s="54" t="s">
        <v>289</v>
      </c>
      <c r="BA101" s="75" t="s">
        <v>160</v>
      </c>
      <c r="BC101" s="55">
        <f t="shared" si="103"/>
        <v>0</v>
      </c>
      <c r="BD101" s="55">
        <f t="shared" si="104"/>
        <v>0</v>
      </c>
      <c r="BE101" s="55">
        <v>0</v>
      </c>
      <c r="BF101" s="55">
        <f t="shared" si="105"/>
        <v>0</v>
      </c>
      <c r="BH101" s="55">
        <f t="shared" si="106"/>
        <v>0</v>
      </c>
      <c r="BI101" s="55">
        <f t="shared" si="107"/>
        <v>0</v>
      </c>
      <c r="BJ101" s="55">
        <f t="shared" si="108"/>
        <v>0</v>
      </c>
      <c r="BK101" s="54" t="s">
        <v>161</v>
      </c>
      <c r="BL101" s="55"/>
      <c r="BW101" s="55">
        <f t="shared" si="109"/>
        <v>21</v>
      </c>
      <c r="BX101" s="16" t="s">
        <v>424</v>
      </c>
    </row>
    <row r="102" spans="1:76" ht="23.85" customHeight="1" x14ac:dyDescent="0.3">
      <c r="A102" s="94" t="s">
        <v>425</v>
      </c>
      <c r="B102" s="94" t="s">
        <v>103</v>
      </c>
      <c r="C102" s="94" t="s">
        <v>426</v>
      </c>
      <c r="D102" s="199" t="s">
        <v>427</v>
      </c>
      <c r="E102" s="199"/>
      <c r="F102" s="94" t="s">
        <v>323</v>
      </c>
      <c r="G102" s="96">
        <v>2.0249999999999999</v>
      </c>
      <c r="H102" s="97"/>
      <c r="I102" s="98">
        <v>21</v>
      </c>
      <c r="J102" s="97">
        <f t="shared" si="82"/>
        <v>0</v>
      </c>
      <c r="K102" s="97">
        <f t="shared" si="83"/>
        <v>0</v>
      </c>
      <c r="L102" s="97">
        <f t="shared" si="84"/>
        <v>0</v>
      </c>
      <c r="M102" s="97">
        <f t="shared" si="85"/>
        <v>0</v>
      </c>
      <c r="N102" s="97">
        <v>0</v>
      </c>
      <c r="O102" s="96">
        <f t="shared" si="86"/>
        <v>0</v>
      </c>
      <c r="P102" s="99" t="s">
        <v>156</v>
      </c>
      <c r="Z102" s="55">
        <f t="shared" si="87"/>
        <v>0</v>
      </c>
      <c r="AB102" s="55">
        <f t="shared" si="88"/>
        <v>0</v>
      </c>
      <c r="AC102" s="55">
        <f t="shared" si="89"/>
        <v>0</v>
      </c>
      <c r="AD102" s="55">
        <f t="shared" si="90"/>
        <v>0</v>
      </c>
      <c r="AE102" s="55">
        <f t="shared" si="91"/>
        <v>0</v>
      </c>
      <c r="AF102" s="55">
        <f t="shared" si="92"/>
        <v>0</v>
      </c>
      <c r="AG102" s="55">
        <f t="shared" si="93"/>
        <v>0</v>
      </c>
      <c r="AH102" s="55">
        <f t="shared" si="94"/>
        <v>0</v>
      </c>
      <c r="AI102" s="75" t="s">
        <v>103</v>
      </c>
      <c r="AJ102" s="55">
        <f t="shared" si="95"/>
        <v>0</v>
      </c>
      <c r="AK102" s="55">
        <f t="shared" si="96"/>
        <v>0</v>
      </c>
      <c r="AL102" s="55">
        <f t="shared" si="97"/>
        <v>0</v>
      </c>
      <c r="AN102" s="55">
        <v>21</v>
      </c>
      <c r="AO102" s="55">
        <f t="shared" si="98"/>
        <v>0</v>
      </c>
      <c r="AP102" s="55">
        <f t="shared" si="99"/>
        <v>0</v>
      </c>
      <c r="AQ102" s="54" t="s">
        <v>179</v>
      </c>
      <c r="AV102" s="55">
        <f t="shared" si="100"/>
        <v>0</v>
      </c>
      <c r="AW102" s="55">
        <f t="shared" si="101"/>
        <v>0</v>
      </c>
      <c r="AX102" s="55">
        <f t="shared" si="102"/>
        <v>0</v>
      </c>
      <c r="AY102" s="54" t="s">
        <v>403</v>
      </c>
      <c r="AZ102" s="54" t="s">
        <v>289</v>
      </c>
      <c r="BA102" s="75" t="s">
        <v>160</v>
      </c>
      <c r="BC102" s="55">
        <f t="shared" si="103"/>
        <v>0</v>
      </c>
      <c r="BD102" s="55">
        <f t="shared" si="104"/>
        <v>0</v>
      </c>
      <c r="BE102" s="55">
        <v>0</v>
      </c>
      <c r="BF102" s="55">
        <f t="shared" si="105"/>
        <v>0</v>
      </c>
      <c r="BH102" s="55">
        <f t="shared" si="106"/>
        <v>0</v>
      </c>
      <c r="BI102" s="55">
        <f t="shared" si="107"/>
        <v>0</v>
      </c>
      <c r="BJ102" s="55">
        <f t="shared" si="108"/>
        <v>0</v>
      </c>
      <c r="BK102" s="54" t="s">
        <v>161</v>
      </c>
      <c r="BL102" s="55"/>
      <c r="BW102" s="55">
        <f t="shared" si="109"/>
        <v>21</v>
      </c>
      <c r="BX102" s="16" t="s">
        <v>427</v>
      </c>
    </row>
    <row r="103" spans="1:76" ht="23.85" customHeight="1" x14ac:dyDescent="0.3">
      <c r="A103" s="94" t="s">
        <v>428</v>
      </c>
      <c r="B103" s="94" t="s">
        <v>103</v>
      </c>
      <c r="C103" s="94" t="s">
        <v>429</v>
      </c>
      <c r="D103" s="199" t="s">
        <v>430</v>
      </c>
      <c r="E103" s="199"/>
      <c r="F103" s="94" t="s">
        <v>323</v>
      </c>
      <c r="G103" s="96">
        <v>3.8879999999999999</v>
      </c>
      <c r="H103" s="97"/>
      <c r="I103" s="98">
        <v>21</v>
      </c>
      <c r="J103" s="97">
        <f t="shared" si="82"/>
        <v>0</v>
      </c>
      <c r="K103" s="97">
        <f t="shared" si="83"/>
        <v>0</v>
      </c>
      <c r="L103" s="97">
        <f t="shared" si="84"/>
        <v>0</v>
      </c>
      <c r="M103" s="97">
        <f t="shared" si="85"/>
        <v>0</v>
      </c>
      <c r="N103" s="97">
        <v>0</v>
      </c>
      <c r="O103" s="96">
        <f t="shared" si="86"/>
        <v>0</v>
      </c>
      <c r="P103" s="99" t="s">
        <v>156</v>
      </c>
      <c r="Z103" s="55">
        <f t="shared" si="87"/>
        <v>0</v>
      </c>
      <c r="AB103" s="55">
        <f t="shared" si="88"/>
        <v>0</v>
      </c>
      <c r="AC103" s="55">
        <f t="shared" si="89"/>
        <v>0</v>
      </c>
      <c r="AD103" s="55">
        <f t="shared" si="90"/>
        <v>0</v>
      </c>
      <c r="AE103" s="55">
        <f t="shared" si="91"/>
        <v>0</v>
      </c>
      <c r="AF103" s="55">
        <f t="shared" si="92"/>
        <v>0</v>
      </c>
      <c r="AG103" s="55">
        <f t="shared" si="93"/>
        <v>0</v>
      </c>
      <c r="AH103" s="55">
        <f t="shared" si="94"/>
        <v>0</v>
      </c>
      <c r="AI103" s="75" t="s">
        <v>103</v>
      </c>
      <c r="AJ103" s="55">
        <f t="shared" si="95"/>
        <v>0</v>
      </c>
      <c r="AK103" s="55">
        <f t="shared" si="96"/>
        <v>0</v>
      </c>
      <c r="AL103" s="55">
        <f t="shared" si="97"/>
        <v>0</v>
      </c>
      <c r="AN103" s="55">
        <v>21</v>
      </c>
      <c r="AO103" s="55">
        <f t="shared" si="98"/>
        <v>0</v>
      </c>
      <c r="AP103" s="55">
        <f t="shared" si="99"/>
        <v>0</v>
      </c>
      <c r="AQ103" s="54" t="s">
        <v>179</v>
      </c>
      <c r="AV103" s="55">
        <f t="shared" si="100"/>
        <v>0</v>
      </c>
      <c r="AW103" s="55">
        <f t="shared" si="101"/>
        <v>0</v>
      </c>
      <c r="AX103" s="55">
        <f t="shared" si="102"/>
        <v>0</v>
      </c>
      <c r="AY103" s="54" t="s">
        <v>403</v>
      </c>
      <c r="AZ103" s="54" t="s">
        <v>289</v>
      </c>
      <c r="BA103" s="75" t="s">
        <v>160</v>
      </c>
      <c r="BC103" s="55">
        <f t="shared" si="103"/>
        <v>0</v>
      </c>
      <c r="BD103" s="55">
        <f t="shared" si="104"/>
        <v>0</v>
      </c>
      <c r="BE103" s="55">
        <v>0</v>
      </c>
      <c r="BF103" s="55">
        <f t="shared" si="105"/>
        <v>0</v>
      </c>
      <c r="BH103" s="55">
        <f t="shared" si="106"/>
        <v>0</v>
      </c>
      <c r="BI103" s="55">
        <f t="shared" si="107"/>
        <v>0</v>
      </c>
      <c r="BJ103" s="55">
        <f t="shared" si="108"/>
        <v>0</v>
      </c>
      <c r="BK103" s="54" t="s">
        <v>161</v>
      </c>
      <c r="BL103" s="55"/>
      <c r="BW103" s="55">
        <f t="shared" si="109"/>
        <v>21</v>
      </c>
      <c r="BX103" s="16" t="s">
        <v>430</v>
      </c>
    </row>
    <row r="104" spans="1:76" ht="23.85" customHeight="1" x14ac:dyDescent="0.3">
      <c r="A104" s="94" t="s">
        <v>431</v>
      </c>
      <c r="B104" s="94" t="s">
        <v>103</v>
      </c>
      <c r="C104" s="94" t="s">
        <v>432</v>
      </c>
      <c r="D104" s="199" t="s">
        <v>433</v>
      </c>
      <c r="E104" s="199"/>
      <c r="F104" s="94" t="s">
        <v>323</v>
      </c>
      <c r="G104" s="96">
        <v>605.73099999999999</v>
      </c>
      <c r="H104" s="97"/>
      <c r="I104" s="98">
        <v>21</v>
      </c>
      <c r="J104" s="97">
        <f t="shared" si="82"/>
        <v>0</v>
      </c>
      <c r="K104" s="97">
        <f t="shared" si="83"/>
        <v>0</v>
      </c>
      <c r="L104" s="97">
        <f t="shared" si="84"/>
        <v>0</v>
      </c>
      <c r="M104" s="97">
        <f t="shared" si="85"/>
        <v>0</v>
      </c>
      <c r="N104" s="97">
        <v>0</v>
      </c>
      <c r="O104" s="96">
        <f t="shared" si="86"/>
        <v>0</v>
      </c>
      <c r="P104" s="99" t="s">
        <v>156</v>
      </c>
      <c r="Z104" s="55">
        <f t="shared" si="87"/>
        <v>0</v>
      </c>
      <c r="AB104" s="55">
        <f t="shared" si="88"/>
        <v>0</v>
      </c>
      <c r="AC104" s="55">
        <f t="shared" si="89"/>
        <v>0</v>
      </c>
      <c r="AD104" s="55">
        <f t="shared" si="90"/>
        <v>0</v>
      </c>
      <c r="AE104" s="55">
        <f t="shared" si="91"/>
        <v>0</v>
      </c>
      <c r="AF104" s="55">
        <f t="shared" si="92"/>
        <v>0</v>
      </c>
      <c r="AG104" s="55">
        <f t="shared" si="93"/>
        <v>0</v>
      </c>
      <c r="AH104" s="55">
        <f t="shared" si="94"/>
        <v>0</v>
      </c>
      <c r="AI104" s="75" t="s">
        <v>103</v>
      </c>
      <c r="AJ104" s="55">
        <f t="shared" si="95"/>
        <v>0</v>
      </c>
      <c r="AK104" s="55">
        <f t="shared" si="96"/>
        <v>0</v>
      </c>
      <c r="AL104" s="55">
        <f t="shared" si="97"/>
        <v>0</v>
      </c>
      <c r="AN104" s="55">
        <v>21</v>
      </c>
      <c r="AO104" s="55">
        <f t="shared" si="98"/>
        <v>0</v>
      </c>
      <c r="AP104" s="55">
        <f t="shared" si="99"/>
        <v>0</v>
      </c>
      <c r="AQ104" s="54" t="s">
        <v>179</v>
      </c>
      <c r="AV104" s="55">
        <f t="shared" si="100"/>
        <v>0</v>
      </c>
      <c r="AW104" s="55">
        <f t="shared" si="101"/>
        <v>0</v>
      </c>
      <c r="AX104" s="55">
        <f t="shared" si="102"/>
        <v>0</v>
      </c>
      <c r="AY104" s="54" t="s">
        <v>403</v>
      </c>
      <c r="AZ104" s="54" t="s">
        <v>289</v>
      </c>
      <c r="BA104" s="75" t="s">
        <v>160</v>
      </c>
      <c r="BC104" s="55">
        <f t="shared" si="103"/>
        <v>0</v>
      </c>
      <c r="BD104" s="55">
        <f t="shared" si="104"/>
        <v>0</v>
      </c>
      <c r="BE104" s="55">
        <v>0</v>
      </c>
      <c r="BF104" s="55">
        <f t="shared" si="105"/>
        <v>0</v>
      </c>
      <c r="BH104" s="55">
        <f t="shared" si="106"/>
        <v>0</v>
      </c>
      <c r="BI104" s="55">
        <f t="shared" si="107"/>
        <v>0</v>
      </c>
      <c r="BJ104" s="55">
        <f t="shared" si="108"/>
        <v>0</v>
      </c>
      <c r="BK104" s="54" t="s">
        <v>161</v>
      </c>
      <c r="BL104" s="55"/>
      <c r="BW104" s="55">
        <f t="shared" si="109"/>
        <v>21</v>
      </c>
      <c r="BX104" s="16" t="s">
        <v>433</v>
      </c>
    </row>
    <row r="105" spans="1:76" ht="15" customHeight="1" x14ac:dyDescent="0.3">
      <c r="A105" s="94" t="s">
        <v>434</v>
      </c>
      <c r="B105" s="94" t="s">
        <v>103</v>
      </c>
      <c r="C105" s="94" t="s">
        <v>435</v>
      </c>
      <c r="D105" s="199" t="s">
        <v>436</v>
      </c>
      <c r="E105" s="199"/>
      <c r="F105" s="94" t="s">
        <v>323</v>
      </c>
      <c r="G105" s="96">
        <v>0.97699999999999998</v>
      </c>
      <c r="H105" s="97"/>
      <c r="I105" s="98">
        <v>21</v>
      </c>
      <c r="J105" s="97">
        <f t="shared" si="82"/>
        <v>0</v>
      </c>
      <c r="K105" s="97">
        <f t="shared" si="83"/>
        <v>0</v>
      </c>
      <c r="L105" s="97">
        <f t="shared" si="84"/>
        <v>0</v>
      </c>
      <c r="M105" s="97">
        <f t="shared" si="85"/>
        <v>0</v>
      </c>
      <c r="N105" s="97">
        <v>0</v>
      </c>
      <c r="O105" s="96">
        <f t="shared" si="86"/>
        <v>0</v>
      </c>
      <c r="P105" s="99" t="s">
        <v>156</v>
      </c>
      <c r="Z105" s="55">
        <f t="shared" si="87"/>
        <v>0</v>
      </c>
      <c r="AB105" s="55">
        <f t="shared" si="88"/>
        <v>0</v>
      </c>
      <c r="AC105" s="55">
        <f t="shared" si="89"/>
        <v>0</v>
      </c>
      <c r="AD105" s="55">
        <f t="shared" si="90"/>
        <v>0</v>
      </c>
      <c r="AE105" s="55">
        <f t="shared" si="91"/>
        <v>0</v>
      </c>
      <c r="AF105" s="55">
        <f t="shared" si="92"/>
        <v>0</v>
      </c>
      <c r="AG105" s="55">
        <f t="shared" si="93"/>
        <v>0</v>
      </c>
      <c r="AH105" s="55">
        <f t="shared" si="94"/>
        <v>0</v>
      </c>
      <c r="AI105" s="75" t="s">
        <v>103</v>
      </c>
      <c r="AJ105" s="55">
        <f t="shared" si="95"/>
        <v>0</v>
      </c>
      <c r="AK105" s="55">
        <f t="shared" si="96"/>
        <v>0</v>
      </c>
      <c r="AL105" s="55">
        <f t="shared" si="97"/>
        <v>0</v>
      </c>
      <c r="AN105" s="55">
        <v>21</v>
      </c>
      <c r="AO105" s="55">
        <f t="shared" si="98"/>
        <v>0</v>
      </c>
      <c r="AP105" s="55">
        <f t="shared" si="99"/>
        <v>0</v>
      </c>
      <c r="AQ105" s="54" t="s">
        <v>179</v>
      </c>
      <c r="AV105" s="55">
        <f t="shared" si="100"/>
        <v>0</v>
      </c>
      <c r="AW105" s="55">
        <f t="shared" si="101"/>
        <v>0</v>
      </c>
      <c r="AX105" s="55">
        <f t="shared" si="102"/>
        <v>0</v>
      </c>
      <c r="AY105" s="54" t="s">
        <v>403</v>
      </c>
      <c r="AZ105" s="54" t="s">
        <v>289</v>
      </c>
      <c r="BA105" s="75" t="s">
        <v>160</v>
      </c>
      <c r="BC105" s="55">
        <f t="shared" si="103"/>
        <v>0</v>
      </c>
      <c r="BD105" s="55">
        <f t="shared" si="104"/>
        <v>0</v>
      </c>
      <c r="BE105" s="55">
        <v>0</v>
      </c>
      <c r="BF105" s="55">
        <f t="shared" si="105"/>
        <v>0</v>
      </c>
      <c r="BH105" s="55">
        <f t="shared" si="106"/>
        <v>0</v>
      </c>
      <c r="BI105" s="55">
        <f t="shared" si="107"/>
        <v>0</v>
      </c>
      <c r="BJ105" s="55">
        <f t="shared" si="108"/>
        <v>0</v>
      </c>
      <c r="BK105" s="54" t="s">
        <v>161</v>
      </c>
      <c r="BL105" s="55"/>
      <c r="BW105" s="55">
        <f t="shared" si="109"/>
        <v>21</v>
      </c>
      <c r="BX105" s="16" t="s">
        <v>436</v>
      </c>
    </row>
    <row r="106" spans="1:76" ht="15" customHeight="1" x14ac:dyDescent="0.3">
      <c r="A106" s="94" t="s">
        <v>437</v>
      </c>
      <c r="B106" s="94" t="s">
        <v>103</v>
      </c>
      <c r="C106" s="94" t="s">
        <v>438</v>
      </c>
      <c r="D106" s="199" t="s">
        <v>439</v>
      </c>
      <c r="E106" s="199"/>
      <c r="F106" s="94" t="s">
        <v>323</v>
      </c>
      <c r="G106" s="96">
        <v>287.60199999999998</v>
      </c>
      <c r="H106" s="97"/>
      <c r="I106" s="98">
        <v>21</v>
      </c>
      <c r="J106" s="97">
        <f t="shared" si="82"/>
        <v>0</v>
      </c>
      <c r="K106" s="97">
        <f t="shared" si="83"/>
        <v>0</v>
      </c>
      <c r="L106" s="97">
        <f t="shared" si="84"/>
        <v>0</v>
      </c>
      <c r="M106" s="97">
        <f t="shared" si="85"/>
        <v>0</v>
      </c>
      <c r="N106" s="97">
        <v>0</v>
      </c>
      <c r="O106" s="96">
        <f t="shared" si="86"/>
        <v>0</v>
      </c>
      <c r="P106" s="99" t="s">
        <v>156</v>
      </c>
      <c r="Z106" s="55">
        <f t="shared" si="87"/>
        <v>0</v>
      </c>
      <c r="AB106" s="55">
        <f t="shared" si="88"/>
        <v>0</v>
      </c>
      <c r="AC106" s="55">
        <f t="shared" si="89"/>
        <v>0</v>
      </c>
      <c r="AD106" s="55">
        <f t="shared" si="90"/>
        <v>0</v>
      </c>
      <c r="AE106" s="55">
        <f t="shared" si="91"/>
        <v>0</v>
      </c>
      <c r="AF106" s="55">
        <f t="shared" si="92"/>
        <v>0</v>
      </c>
      <c r="AG106" s="55">
        <f t="shared" si="93"/>
        <v>0</v>
      </c>
      <c r="AH106" s="55">
        <f t="shared" si="94"/>
        <v>0</v>
      </c>
      <c r="AI106" s="75" t="s">
        <v>103</v>
      </c>
      <c r="AJ106" s="55">
        <f t="shared" si="95"/>
        <v>0</v>
      </c>
      <c r="AK106" s="55">
        <f t="shared" si="96"/>
        <v>0</v>
      </c>
      <c r="AL106" s="55">
        <f t="shared" si="97"/>
        <v>0</v>
      </c>
      <c r="AN106" s="55">
        <v>21</v>
      </c>
      <c r="AO106" s="55">
        <f t="shared" si="98"/>
        <v>0</v>
      </c>
      <c r="AP106" s="55">
        <f t="shared" si="99"/>
        <v>0</v>
      </c>
      <c r="AQ106" s="54" t="s">
        <v>179</v>
      </c>
      <c r="AV106" s="55">
        <f t="shared" si="100"/>
        <v>0</v>
      </c>
      <c r="AW106" s="55">
        <f t="shared" si="101"/>
        <v>0</v>
      </c>
      <c r="AX106" s="55">
        <f t="shared" si="102"/>
        <v>0</v>
      </c>
      <c r="AY106" s="54" t="s">
        <v>403</v>
      </c>
      <c r="AZ106" s="54" t="s">
        <v>289</v>
      </c>
      <c r="BA106" s="75" t="s">
        <v>160</v>
      </c>
      <c r="BC106" s="55">
        <f t="shared" si="103"/>
        <v>0</v>
      </c>
      <c r="BD106" s="55">
        <f t="shared" si="104"/>
        <v>0</v>
      </c>
      <c r="BE106" s="55">
        <v>0</v>
      </c>
      <c r="BF106" s="55">
        <f t="shared" si="105"/>
        <v>0</v>
      </c>
      <c r="BH106" s="55">
        <f t="shared" si="106"/>
        <v>0</v>
      </c>
      <c r="BI106" s="55">
        <f t="shared" si="107"/>
        <v>0</v>
      </c>
      <c r="BJ106" s="55">
        <f t="shared" si="108"/>
        <v>0</v>
      </c>
      <c r="BK106" s="54" t="s">
        <v>161</v>
      </c>
      <c r="BL106" s="55"/>
      <c r="BW106" s="55">
        <f t="shared" si="109"/>
        <v>21</v>
      </c>
      <c r="BX106" s="16" t="s">
        <v>439</v>
      </c>
    </row>
    <row r="107" spans="1:76" ht="15" customHeight="1" x14ac:dyDescent="0.3">
      <c r="A107" s="94" t="s">
        <v>440</v>
      </c>
      <c r="B107" s="94" t="s">
        <v>103</v>
      </c>
      <c r="C107" s="94" t="s">
        <v>441</v>
      </c>
      <c r="D107" s="199" t="s">
        <v>442</v>
      </c>
      <c r="E107" s="199"/>
      <c r="F107" s="94" t="s">
        <v>323</v>
      </c>
      <c r="G107" s="96">
        <v>287.60199999999998</v>
      </c>
      <c r="H107" s="97"/>
      <c r="I107" s="98">
        <v>21</v>
      </c>
      <c r="J107" s="97">
        <f t="shared" si="82"/>
        <v>0</v>
      </c>
      <c r="K107" s="97">
        <f t="shared" si="83"/>
        <v>0</v>
      </c>
      <c r="L107" s="97">
        <f t="shared" si="84"/>
        <v>0</v>
      </c>
      <c r="M107" s="97">
        <f t="shared" si="85"/>
        <v>0</v>
      </c>
      <c r="N107" s="97">
        <v>0</v>
      </c>
      <c r="O107" s="96">
        <f t="shared" si="86"/>
        <v>0</v>
      </c>
      <c r="P107" s="99" t="s">
        <v>156</v>
      </c>
      <c r="Z107" s="55">
        <f t="shared" si="87"/>
        <v>0</v>
      </c>
      <c r="AB107" s="55">
        <f t="shared" si="88"/>
        <v>0</v>
      </c>
      <c r="AC107" s="55">
        <f t="shared" si="89"/>
        <v>0</v>
      </c>
      <c r="AD107" s="55">
        <f t="shared" si="90"/>
        <v>0</v>
      </c>
      <c r="AE107" s="55">
        <f t="shared" si="91"/>
        <v>0</v>
      </c>
      <c r="AF107" s="55">
        <f t="shared" si="92"/>
        <v>0</v>
      </c>
      <c r="AG107" s="55">
        <f t="shared" si="93"/>
        <v>0</v>
      </c>
      <c r="AH107" s="55">
        <f t="shared" si="94"/>
        <v>0</v>
      </c>
      <c r="AI107" s="75" t="s">
        <v>103</v>
      </c>
      <c r="AJ107" s="55">
        <f t="shared" si="95"/>
        <v>0</v>
      </c>
      <c r="AK107" s="55">
        <f t="shared" si="96"/>
        <v>0</v>
      </c>
      <c r="AL107" s="55">
        <f t="shared" si="97"/>
        <v>0</v>
      </c>
      <c r="AN107" s="55">
        <v>21</v>
      </c>
      <c r="AO107" s="55">
        <f t="shared" si="98"/>
        <v>0</v>
      </c>
      <c r="AP107" s="55">
        <f t="shared" si="99"/>
        <v>0</v>
      </c>
      <c r="AQ107" s="54" t="s">
        <v>179</v>
      </c>
      <c r="AV107" s="55">
        <f t="shared" si="100"/>
        <v>0</v>
      </c>
      <c r="AW107" s="55">
        <f t="shared" si="101"/>
        <v>0</v>
      </c>
      <c r="AX107" s="55">
        <f t="shared" si="102"/>
        <v>0</v>
      </c>
      <c r="AY107" s="54" t="s">
        <v>403</v>
      </c>
      <c r="AZ107" s="54" t="s">
        <v>289</v>
      </c>
      <c r="BA107" s="75" t="s">
        <v>160</v>
      </c>
      <c r="BC107" s="55">
        <f t="shared" si="103"/>
        <v>0</v>
      </c>
      <c r="BD107" s="55">
        <f t="shared" si="104"/>
        <v>0</v>
      </c>
      <c r="BE107" s="55">
        <v>0</v>
      </c>
      <c r="BF107" s="55">
        <f t="shared" si="105"/>
        <v>0</v>
      </c>
      <c r="BH107" s="55">
        <f t="shared" si="106"/>
        <v>0</v>
      </c>
      <c r="BI107" s="55">
        <f t="shared" si="107"/>
        <v>0</v>
      </c>
      <c r="BJ107" s="55">
        <f t="shared" si="108"/>
        <v>0</v>
      </c>
      <c r="BK107" s="54" t="s">
        <v>161</v>
      </c>
      <c r="BL107" s="55"/>
      <c r="BW107" s="55">
        <f t="shared" si="109"/>
        <v>21</v>
      </c>
      <c r="BX107" s="16" t="s">
        <v>442</v>
      </c>
    </row>
    <row r="108" spans="1:76" ht="15" customHeight="1" x14ac:dyDescent="0.3">
      <c r="A108" s="94" t="s">
        <v>443</v>
      </c>
      <c r="B108" s="94" t="s">
        <v>103</v>
      </c>
      <c r="C108" s="94" t="s">
        <v>444</v>
      </c>
      <c r="D108" s="199" t="s">
        <v>445</v>
      </c>
      <c r="E108" s="199"/>
      <c r="F108" s="94" t="s">
        <v>323</v>
      </c>
      <c r="G108" s="96">
        <v>47.296999999999997</v>
      </c>
      <c r="H108" s="97"/>
      <c r="I108" s="98">
        <v>21</v>
      </c>
      <c r="J108" s="97">
        <f t="shared" si="82"/>
        <v>0</v>
      </c>
      <c r="K108" s="97">
        <f t="shared" si="83"/>
        <v>0</v>
      </c>
      <c r="L108" s="97">
        <f t="shared" si="84"/>
        <v>0</v>
      </c>
      <c r="M108" s="97">
        <f t="shared" si="85"/>
        <v>0</v>
      </c>
      <c r="N108" s="97">
        <v>0</v>
      </c>
      <c r="O108" s="96">
        <f t="shared" si="86"/>
        <v>0</v>
      </c>
      <c r="P108" s="99" t="s">
        <v>156</v>
      </c>
      <c r="Z108" s="55">
        <f t="shared" si="87"/>
        <v>0</v>
      </c>
      <c r="AB108" s="55">
        <f t="shared" si="88"/>
        <v>0</v>
      </c>
      <c r="AC108" s="55">
        <f t="shared" si="89"/>
        <v>0</v>
      </c>
      <c r="AD108" s="55">
        <f t="shared" si="90"/>
        <v>0</v>
      </c>
      <c r="AE108" s="55">
        <f t="shared" si="91"/>
        <v>0</v>
      </c>
      <c r="AF108" s="55">
        <f t="shared" si="92"/>
        <v>0</v>
      </c>
      <c r="AG108" s="55">
        <f t="shared" si="93"/>
        <v>0</v>
      </c>
      <c r="AH108" s="55">
        <f t="shared" si="94"/>
        <v>0</v>
      </c>
      <c r="AI108" s="75" t="s">
        <v>103</v>
      </c>
      <c r="AJ108" s="55">
        <f t="shared" si="95"/>
        <v>0</v>
      </c>
      <c r="AK108" s="55">
        <f t="shared" si="96"/>
        <v>0</v>
      </c>
      <c r="AL108" s="55">
        <f t="shared" si="97"/>
        <v>0</v>
      </c>
      <c r="AN108" s="55">
        <v>21</v>
      </c>
      <c r="AO108" s="55">
        <f t="shared" si="98"/>
        <v>0</v>
      </c>
      <c r="AP108" s="55">
        <f t="shared" si="99"/>
        <v>0</v>
      </c>
      <c r="AQ108" s="54" t="s">
        <v>179</v>
      </c>
      <c r="AV108" s="55">
        <f t="shared" si="100"/>
        <v>0</v>
      </c>
      <c r="AW108" s="55">
        <f t="shared" si="101"/>
        <v>0</v>
      </c>
      <c r="AX108" s="55">
        <f t="shared" si="102"/>
        <v>0</v>
      </c>
      <c r="AY108" s="54" t="s">
        <v>403</v>
      </c>
      <c r="AZ108" s="54" t="s">
        <v>289</v>
      </c>
      <c r="BA108" s="75" t="s">
        <v>160</v>
      </c>
      <c r="BC108" s="55">
        <f t="shared" si="103"/>
        <v>0</v>
      </c>
      <c r="BD108" s="55">
        <f t="shared" si="104"/>
        <v>0</v>
      </c>
      <c r="BE108" s="55">
        <v>0</v>
      </c>
      <c r="BF108" s="55">
        <f t="shared" si="105"/>
        <v>0</v>
      </c>
      <c r="BH108" s="55">
        <f t="shared" si="106"/>
        <v>0</v>
      </c>
      <c r="BI108" s="55">
        <f t="shared" si="107"/>
        <v>0</v>
      </c>
      <c r="BJ108" s="55">
        <f t="shared" si="108"/>
        <v>0</v>
      </c>
      <c r="BK108" s="54" t="s">
        <v>161</v>
      </c>
      <c r="BL108" s="55"/>
      <c r="BW108" s="55">
        <f t="shared" si="109"/>
        <v>21</v>
      </c>
      <c r="BX108" s="16" t="s">
        <v>445</v>
      </c>
    </row>
    <row r="109" spans="1:76" ht="15" customHeight="1" x14ac:dyDescent="0.3">
      <c r="A109" s="94" t="s">
        <v>446</v>
      </c>
      <c r="B109" s="94" t="s">
        <v>103</v>
      </c>
      <c r="C109" s="94" t="s">
        <v>447</v>
      </c>
      <c r="D109" s="199" t="s">
        <v>448</v>
      </c>
      <c r="E109" s="199"/>
      <c r="F109" s="94" t="s">
        <v>323</v>
      </c>
      <c r="G109" s="96">
        <v>94.593999999999994</v>
      </c>
      <c r="H109" s="97"/>
      <c r="I109" s="98">
        <v>21</v>
      </c>
      <c r="J109" s="97">
        <f t="shared" si="82"/>
        <v>0</v>
      </c>
      <c r="K109" s="97">
        <f t="shared" si="83"/>
        <v>0</v>
      </c>
      <c r="L109" s="97">
        <f t="shared" si="84"/>
        <v>0</v>
      </c>
      <c r="M109" s="97">
        <f t="shared" si="85"/>
        <v>0</v>
      </c>
      <c r="N109" s="97">
        <v>0</v>
      </c>
      <c r="O109" s="96">
        <f t="shared" si="86"/>
        <v>0</v>
      </c>
      <c r="P109" s="99" t="s">
        <v>156</v>
      </c>
      <c r="Z109" s="55">
        <f t="shared" si="87"/>
        <v>0</v>
      </c>
      <c r="AB109" s="55">
        <f t="shared" si="88"/>
        <v>0</v>
      </c>
      <c r="AC109" s="55">
        <f t="shared" si="89"/>
        <v>0</v>
      </c>
      <c r="AD109" s="55">
        <f t="shared" si="90"/>
        <v>0</v>
      </c>
      <c r="AE109" s="55">
        <f t="shared" si="91"/>
        <v>0</v>
      </c>
      <c r="AF109" s="55">
        <f t="shared" si="92"/>
        <v>0</v>
      </c>
      <c r="AG109" s="55">
        <f t="shared" si="93"/>
        <v>0</v>
      </c>
      <c r="AH109" s="55">
        <f t="shared" si="94"/>
        <v>0</v>
      </c>
      <c r="AI109" s="75" t="s">
        <v>103</v>
      </c>
      <c r="AJ109" s="55">
        <f t="shared" si="95"/>
        <v>0</v>
      </c>
      <c r="AK109" s="55">
        <f t="shared" si="96"/>
        <v>0</v>
      </c>
      <c r="AL109" s="55">
        <f t="shared" si="97"/>
        <v>0</v>
      </c>
      <c r="AN109" s="55">
        <v>21</v>
      </c>
      <c r="AO109" s="55">
        <f t="shared" si="98"/>
        <v>0</v>
      </c>
      <c r="AP109" s="55">
        <f t="shared" si="99"/>
        <v>0</v>
      </c>
      <c r="AQ109" s="54" t="s">
        <v>179</v>
      </c>
      <c r="AV109" s="55">
        <f t="shared" si="100"/>
        <v>0</v>
      </c>
      <c r="AW109" s="55">
        <f t="shared" si="101"/>
        <v>0</v>
      </c>
      <c r="AX109" s="55">
        <f t="shared" si="102"/>
        <v>0</v>
      </c>
      <c r="AY109" s="54" t="s">
        <v>403</v>
      </c>
      <c r="AZ109" s="54" t="s">
        <v>289</v>
      </c>
      <c r="BA109" s="75" t="s">
        <v>160</v>
      </c>
      <c r="BC109" s="55">
        <f t="shared" si="103"/>
        <v>0</v>
      </c>
      <c r="BD109" s="55">
        <f t="shared" si="104"/>
        <v>0</v>
      </c>
      <c r="BE109" s="55">
        <v>0</v>
      </c>
      <c r="BF109" s="55">
        <f t="shared" si="105"/>
        <v>0</v>
      </c>
      <c r="BH109" s="55">
        <f t="shared" si="106"/>
        <v>0</v>
      </c>
      <c r="BI109" s="55">
        <f t="shared" si="107"/>
        <v>0</v>
      </c>
      <c r="BJ109" s="55">
        <f t="shared" si="108"/>
        <v>0</v>
      </c>
      <c r="BK109" s="54" t="s">
        <v>161</v>
      </c>
      <c r="BL109" s="55"/>
      <c r="BW109" s="55">
        <f t="shared" si="109"/>
        <v>21</v>
      </c>
      <c r="BX109" s="16" t="s">
        <v>448</v>
      </c>
    </row>
    <row r="110" spans="1:76" ht="15" customHeight="1" x14ac:dyDescent="0.3">
      <c r="A110" s="94" t="s">
        <v>449</v>
      </c>
      <c r="B110" s="94" t="s">
        <v>103</v>
      </c>
      <c r="C110" s="94" t="s">
        <v>450</v>
      </c>
      <c r="D110" s="199" t="s">
        <v>451</v>
      </c>
      <c r="E110" s="199"/>
      <c r="F110" s="94" t="s">
        <v>323</v>
      </c>
      <c r="G110" s="96">
        <v>47.296999999999997</v>
      </c>
      <c r="H110" s="97"/>
      <c r="I110" s="98">
        <v>21</v>
      </c>
      <c r="J110" s="97">
        <f t="shared" si="82"/>
        <v>0</v>
      </c>
      <c r="K110" s="97">
        <f t="shared" si="83"/>
        <v>0</v>
      </c>
      <c r="L110" s="97">
        <f t="shared" si="84"/>
        <v>0</v>
      </c>
      <c r="M110" s="97">
        <f t="shared" si="85"/>
        <v>0</v>
      </c>
      <c r="N110" s="97">
        <v>0</v>
      </c>
      <c r="O110" s="96">
        <f t="shared" si="86"/>
        <v>0</v>
      </c>
      <c r="P110" s="99" t="s">
        <v>156</v>
      </c>
      <c r="Z110" s="55">
        <f t="shared" si="87"/>
        <v>0</v>
      </c>
      <c r="AB110" s="55">
        <f t="shared" si="88"/>
        <v>0</v>
      </c>
      <c r="AC110" s="55">
        <f t="shared" si="89"/>
        <v>0</v>
      </c>
      <c r="AD110" s="55">
        <f t="shared" si="90"/>
        <v>0</v>
      </c>
      <c r="AE110" s="55">
        <f t="shared" si="91"/>
        <v>0</v>
      </c>
      <c r="AF110" s="55">
        <f t="shared" si="92"/>
        <v>0</v>
      </c>
      <c r="AG110" s="55">
        <f t="shared" si="93"/>
        <v>0</v>
      </c>
      <c r="AH110" s="55">
        <f t="shared" si="94"/>
        <v>0</v>
      </c>
      <c r="AI110" s="75" t="s">
        <v>103</v>
      </c>
      <c r="AJ110" s="55">
        <f t="shared" si="95"/>
        <v>0</v>
      </c>
      <c r="AK110" s="55">
        <f t="shared" si="96"/>
        <v>0</v>
      </c>
      <c r="AL110" s="55">
        <f t="shared" si="97"/>
        <v>0</v>
      </c>
      <c r="AN110" s="55">
        <v>21</v>
      </c>
      <c r="AO110" s="55">
        <f t="shared" si="98"/>
        <v>0</v>
      </c>
      <c r="AP110" s="55">
        <f t="shared" si="99"/>
        <v>0</v>
      </c>
      <c r="AQ110" s="54" t="s">
        <v>179</v>
      </c>
      <c r="AV110" s="55">
        <f t="shared" si="100"/>
        <v>0</v>
      </c>
      <c r="AW110" s="55">
        <f t="shared" si="101"/>
        <v>0</v>
      </c>
      <c r="AX110" s="55">
        <f t="shared" si="102"/>
        <v>0</v>
      </c>
      <c r="AY110" s="54" t="s">
        <v>403</v>
      </c>
      <c r="AZ110" s="54" t="s">
        <v>289</v>
      </c>
      <c r="BA110" s="75" t="s">
        <v>160</v>
      </c>
      <c r="BC110" s="55">
        <f t="shared" si="103"/>
        <v>0</v>
      </c>
      <c r="BD110" s="55">
        <f t="shared" si="104"/>
        <v>0</v>
      </c>
      <c r="BE110" s="55">
        <v>0</v>
      </c>
      <c r="BF110" s="55">
        <f t="shared" si="105"/>
        <v>0</v>
      </c>
      <c r="BH110" s="55">
        <f t="shared" si="106"/>
        <v>0</v>
      </c>
      <c r="BI110" s="55">
        <f t="shared" si="107"/>
        <v>0</v>
      </c>
      <c r="BJ110" s="55">
        <f t="shared" si="108"/>
        <v>0</v>
      </c>
      <c r="BK110" s="54" t="s">
        <v>161</v>
      </c>
      <c r="BL110" s="55"/>
      <c r="BW110" s="55">
        <f t="shared" si="109"/>
        <v>21</v>
      </c>
      <c r="BX110" s="16" t="s">
        <v>451</v>
      </c>
    </row>
    <row r="111" spans="1:76" ht="15" customHeight="1" x14ac:dyDescent="0.3">
      <c r="A111" s="94" t="s">
        <v>452</v>
      </c>
      <c r="B111" s="94" t="s">
        <v>103</v>
      </c>
      <c r="C111" s="94" t="s">
        <v>453</v>
      </c>
      <c r="D111" s="199" t="s">
        <v>454</v>
      </c>
      <c r="E111" s="199"/>
      <c r="F111" s="94" t="s">
        <v>323</v>
      </c>
      <c r="G111" s="96">
        <v>862.80700000000002</v>
      </c>
      <c r="H111" s="97"/>
      <c r="I111" s="98">
        <v>21</v>
      </c>
      <c r="J111" s="97">
        <f t="shared" si="82"/>
        <v>0</v>
      </c>
      <c r="K111" s="97">
        <f t="shared" si="83"/>
        <v>0</v>
      </c>
      <c r="L111" s="97">
        <f t="shared" si="84"/>
        <v>0</v>
      </c>
      <c r="M111" s="97">
        <f t="shared" si="85"/>
        <v>0</v>
      </c>
      <c r="N111" s="97">
        <v>0</v>
      </c>
      <c r="O111" s="96">
        <f t="shared" si="86"/>
        <v>0</v>
      </c>
      <c r="P111" s="99" t="s">
        <v>156</v>
      </c>
      <c r="Z111" s="55">
        <f t="shared" si="87"/>
        <v>0</v>
      </c>
      <c r="AB111" s="55">
        <f t="shared" si="88"/>
        <v>0</v>
      </c>
      <c r="AC111" s="55">
        <f t="shared" si="89"/>
        <v>0</v>
      </c>
      <c r="AD111" s="55">
        <f t="shared" si="90"/>
        <v>0</v>
      </c>
      <c r="AE111" s="55">
        <f t="shared" si="91"/>
        <v>0</v>
      </c>
      <c r="AF111" s="55">
        <f t="shared" si="92"/>
        <v>0</v>
      </c>
      <c r="AG111" s="55">
        <f t="shared" si="93"/>
        <v>0</v>
      </c>
      <c r="AH111" s="55">
        <f t="shared" si="94"/>
        <v>0</v>
      </c>
      <c r="AI111" s="75" t="s">
        <v>103</v>
      </c>
      <c r="AJ111" s="55">
        <f t="shared" si="95"/>
        <v>0</v>
      </c>
      <c r="AK111" s="55">
        <f t="shared" si="96"/>
        <v>0</v>
      </c>
      <c r="AL111" s="55">
        <f t="shared" si="97"/>
        <v>0</v>
      </c>
      <c r="AN111" s="55">
        <v>21</v>
      </c>
      <c r="AO111" s="55">
        <f t="shared" si="98"/>
        <v>0</v>
      </c>
      <c r="AP111" s="55">
        <f t="shared" si="99"/>
        <v>0</v>
      </c>
      <c r="AQ111" s="54" t="s">
        <v>179</v>
      </c>
      <c r="AV111" s="55">
        <f t="shared" si="100"/>
        <v>0</v>
      </c>
      <c r="AW111" s="55">
        <f t="shared" si="101"/>
        <v>0</v>
      </c>
      <c r="AX111" s="55">
        <f t="shared" si="102"/>
        <v>0</v>
      </c>
      <c r="AY111" s="54" t="s">
        <v>403</v>
      </c>
      <c r="AZ111" s="54" t="s">
        <v>289</v>
      </c>
      <c r="BA111" s="75" t="s">
        <v>160</v>
      </c>
      <c r="BC111" s="55">
        <f t="shared" si="103"/>
        <v>0</v>
      </c>
      <c r="BD111" s="55">
        <f t="shared" si="104"/>
        <v>0</v>
      </c>
      <c r="BE111" s="55">
        <v>0</v>
      </c>
      <c r="BF111" s="55">
        <f t="shared" si="105"/>
        <v>0</v>
      </c>
      <c r="BH111" s="55">
        <f t="shared" si="106"/>
        <v>0</v>
      </c>
      <c r="BI111" s="55">
        <f t="shared" si="107"/>
        <v>0</v>
      </c>
      <c r="BJ111" s="55">
        <f t="shared" si="108"/>
        <v>0</v>
      </c>
      <c r="BK111" s="54" t="s">
        <v>161</v>
      </c>
      <c r="BL111" s="55"/>
      <c r="BW111" s="55">
        <f t="shared" si="109"/>
        <v>21</v>
      </c>
      <c r="BX111" s="16" t="s">
        <v>454</v>
      </c>
    </row>
    <row r="112" spans="1:76" ht="15" customHeight="1" x14ac:dyDescent="0.3">
      <c r="A112" s="94" t="s">
        <v>455</v>
      </c>
      <c r="B112" s="94" t="s">
        <v>103</v>
      </c>
      <c r="C112" s="94" t="s">
        <v>456</v>
      </c>
      <c r="D112" s="199" t="s">
        <v>457</v>
      </c>
      <c r="E112" s="199"/>
      <c r="F112" s="94" t="s">
        <v>323</v>
      </c>
      <c r="G112" s="96">
        <v>6902.4560000000001</v>
      </c>
      <c r="H112" s="97"/>
      <c r="I112" s="98">
        <v>21</v>
      </c>
      <c r="J112" s="97">
        <f t="shared" si="82"/>
        <v>0</v>
      </c>
      <c r="K112" s="97">
        <f t="shared" si="83"/>
        <v>0</v>
      </c>
      <c r="L112" s="97">
        <f t="shared" si="84"/>
        <v>0</v>
      </c>
      <c r="M112" s="97">
        <f t="shared" si="85"/>
        <v>0</v>
      </c>
      <c r="N112" s="97">
        <v>0</v>
      </c>
      <c r="O112" s="96">
        <f t="shared" si="86"/>
        <v>0</v>
      </c>
      <c r="P112" s="99" t="s">
        <v>156</v>
      </c>
      <c r="Z112" s="55">
        <f t="shared" si="87"/>
        <v>0</v>
      </c>
      <c r="AB112" s="55">
        <f t="shared" si="88"/>
        <v>0</v>
      </c>
      <c r="AC112" s="55">
        <f t="shared" si="89"/>
        <v>0</v>
      </c>
      <c r="AD112" s="55">
        <f t="shared" si="90"/>
        <v>0</v>
      </c>
      <c r="AE112" s="55">
        <f t="shared" si="91"/>
        <v>0</v>
      </c>
      <c r="AF112" s="55">
        <f t="shared" si="92"/>
        <v>0</v>
      </c>
      <c r="AG112" s="55">
        <f t="shared" si="93"/>
        <v>0</v>
      </c>
      <c r="AH112" s="55">
        <f t="shared" si="94"/>
        <v>0</v>
      </c>
      <c r="AI112" s="75" t="s">
        <v>103</v>
      </c>
      <c r="AJ112" s="55">
        <f t="shared" si="95"/>
        <v>0</v>
      </c>
      <c r="AK112" s="55">
        <f t="shared" si="96"/>
        <v>0</v>
      </c>
      <c r="AL112" s="55">
        <f t="shared" si="97"/>
        <v>0</v>
      </c>
      <c r="AN112" s="55">
        <v>21</v>
      </c>
      <c r="AO112" s="55">
        <f t="shared" si="98"/>
        <v>0</v>
      </c>
      <c r="AP112" s="55">
        <f t="shared" si="99"/>
        <v>0</v>
      </c>
      <c r="AQ112" s="54" t="s">
        <v>179</v>
      </c>
      <c r="AV112" s="55">
        <f t="shared" si="100"/>
        <v>0</v>
      </c>
      <c r="AW112" s="55">
        <f t="shared" si="101"/>
        <v>0</v>
      </c>
      <c r="AX112" s="55">
        <f t="shared" si="102"/>
        <v>0</v>
      </c>
      <c r="AY112" s="54" t="s">
        <v>403</v>
      </c>
      <c r="AZ112" s="54" t="s">
        <v>289</v>
      </c>
      <c r="BA112" s="75" t="s">
        <v>160</v>
      </c>
      <c r="BC112" s="55">
        <f t="shared" si="103"/>
        <v>0</v>
      </c>
      <c r="BD112" s="55">
        <f t="shared" si="104"/>
        <v>0</v>
      </c>
      <c r="BE112" s="55">
        <v>0</v>
      </c>
      <c r="BF112" s="55">
        <f t="shared" si="105"/>
        <v>0</v>
      </c>
      <c r="BH112" s="55">
        <f t="shared" si="106"/>
        <v>0</v>
      </c>
      <c r="BI112" s="55">
        <f t="shared" si="107"/>
        <v>0</v>
      </c>
      <c r="BJ112" s="55">
        <f t="shared" si="108"/>
        <v>0</v>
      </c>
      <c r="BK112" s="54" t="s">
        <v>161</v>
      </c>
      <c r="BL112" s="55"/>
      <c r="BW112" s="55">
        <f t="shared" si="109"/>
        <v>21</v>
      </c>
      <c r="BX112" s="16" t="s">
        <v>457</v>
      </c>
    </row>
    <row r="113" spans="1:76" ht="15" customHeight="1" x14ac:dyDescent="0.3">
      <c r="A113" s="94" t="s">
        <v>458</v>
      </c>
      <c r="B113" s="94" t="s">
        <v>103</v>
      </c>
      <c r="C113" s="94" t="s">
        <v>459</v>
      </c>
      <c r="D113" s="199" t="s">
        <v>460</v>
      </c>
      <c r="E113" s="199"/>
      <c r="F113" s="94" t="s">
        <v>323</v>
      </c>
      <c r="G113" s="96">
        <v>0.72599999999999998</v>
      </c>
      <c r="H113" s="97"/>
      <c r="I113" s="98">
        <v>21</v>
      </c>
      <c r="J113" s="97">
        <f t="shared" si="82"/>
        <v>0</v>
      </c>
      <c r="K113" s="97">
        <f t="shared" si="83"/>
        <v>0</v>
      </c>
      <c r="L113" s="97">
        <f t="shared" si="84"/>
        <v>0</v>
      </c>
      <c r="M113" s="97">
        <f t="shared" si="85"/>
        <v>0</v>
      </c>
      <c r="N113" s="97">
        <v>0</v>
      </c>
      <c r="O113" s="96">
        <f t="shared" si="86"/>
        <v>0</v>
      </c>
      <c r="P113" s="99" t="s">
        <v>156</v>
      </c>
      <c r="Z113" s="55">
        <f t="shared" si="87"/>
        <v>0</v>
      </c>
      <c r="AB113" s="55">
        <f t="shared" si="88"/>
        <v>0</v>
      </c>
      <c r="AC113" s="55">
        <f t="shared" si="89"/>
        <v>0</v>
      </c>
      <c r="AD113" s="55">
        <f t="shared" si="90"/>
        <v>0</v>
      </c>
      <c r="AE113" s="55">
        <f t="shared" si="91"/>
        <v>0</v>
      </c>
      <c r="AF113" s="55">
        <f t="shared" si="92"/>
        <v>0</v>
      </c>
      <c r="AG113" s="55">
        <f t="shared" si="93"/>
        <v>0</v>
      </c>
      <c r="AH113" s="55">
        <f t="shared" si="94"/>
        <v>0</v>
      </c>
      <c r="AI113" s="75" t="s">
        <v>103</v>
      </c>
      <c r="AJ113" s="55">
        <f t="shared" si="95"/>
        <v>0</v>
      </c>
      <c r="AK113" s="55">
        <f t="shared" si="96"/>
        <v>0</v>
      </c>
      <c r="AL113" s="55">
        <f t="shared" si="97"/>
        <v>0</v>
      </c>
      <c r="AN113" s="55">
        <v>21</v>
      </c>
      <c r="AO113" s="55">
        <f t="shared" si="98"/>
        <v>0</v>
      </c>
      <c r="AP113" s="55">
        <f t="shared" si="99"/>
        <v>0</v>
      </c>
      <c r="AQ113" s="54" t="s">
        <v>179</v>
      </c>
      <c r="AV113" s="55">
        <f t="shared" si="100"/>
        <v>0</v>
      </c>
      <c r="AW113" s="55">
        <f t="shared" si="101"/>
        <v>0</v>
      </c>
      <c r="AX113" s="55">
        <f t="shared" si="102"/>
        <v>0</v>
      </c>
      <c r="AY113" s="54" t="s">
        <v>403</v>
      </c>
      <c r="AZ113" s="54" t="s">
        <v>289</v>
      </c>
      <c r="BA113" s="75" t="s">
        <v>160</v>
      </c>
      <c r="BC113" s="55">
        <f t="shared" si="103"/>
        <v>0</v>
      </c>
      <c r="BD113" s="55">
        <f t="shared" si="104"/>
        <v>0</v>
      </c>
      <c r="BE113" s="55">
        <v>0</v>
      </c>
      <c r="BF113" s="55">
        <f t="shared" si="105"/>
        <v>0</v>
      </c>
      <c r="BH113" s="55">
        <f t="shared" si="106"/>
        <v>0</v>
      </c>
      <c r="BI113" s="55">
        <f t="shared" si="107"/>
        <v>0</v>
      </c>
      <c r="BJ113" s="55">
        <f t="shared" si="108"/>
        <v>0</v>
      </c>
      <c r="BK113" s="54" t="s">
        <v>161</v>
      </c>
      <c r="BL113" s="55"/>
      <c r="BW113" s="55">
        <f t="shared" si="109"/>
        <v>21</v>
      </c>
      <c r="BX113" s="16" t="s">
        <v>460</v>
      </c>
    </row>
    <row r="114" spans="1:76" ht="15" customHeight="1" x14ac:dyDescent="0.3">
      <c r="A114" s="94" t="s">
        <v>461</v>
      </c>
      <c r="B114" s="94" t="s">
        <v>103</v>
      </c>
      <c r="C114" s="94" t="s">
        <v>462</v>
      </c>
      <c r="D114" s="199" t="s">
        <v>463</v>
      </c>
      <c r="E114" s="199"/>
      <c r="F114" s="94" t="s">
        <v>323</v>
      </c>
      <c r="G114" s="96">
        <v>3.0649999999999999</v>
      </c>
      <c r="H114" s="97"/>
      <c r="I114" s="98">
        <v>21</v>
      </c>
      <c r="J114" s="97">
        <f t="shared" si="82"/>
        <v>0</v>
      </c>
      <c r="K114" s="97">
        <f t="shared" si="83"/>
        <v>0</v>
      </c>
      <c r="L114" s="97">
        <f t="shared" si="84"/>
        <v>0</v>
      </c>
      <c r="M114" s="97">
        <f t="shared" si="85"/>
        <v>0</v>
      </c>
      <c r="N114" s="97">
        <v>0</v>
      </c>
      <c r="O114" s="96">
        <f t="shared" si="86"/>
        <v>0</v>
      </c>
      <c r="P114" s="99" t="s">
        <v>156</v>
      </c>
      <c r="Z114" s="55">
        <f t="shared" si="87"/>
        <v>0</v>
      </c>
      <c r="AB114" s="55">
        <f t="shared" si="88"/>
        <v>0</v>
      </c>
      <c r="AC114" s="55">
        <f t="shared" si="89"/>
        <v>0</v>
      </c>
      <c r="AD114" s="55">
        <f t="shared" si="90"/>
        <v>0</v>
      </c>
      <c r="AE114" s="55">
        <f t="shared" si="91"/>
        <v>0</v>
      </c>
      <c r="AF114" s="55">
        <f t="shared" si="92"/>
        <v>0</v>
      </c>
      <c r="AG114" s="55">
        <f t="shared" si="93"/>
        <v>0</v>
      </c>
      <c r="AH114" s="55">
        <f t="shared" si="94"/>
        <v>0</v>
      </c>
      <c r="AI114" s="75" t="s">
        <v>103</v>
      </c>
      <c r="AJ114" s="55">
        <f t="shared" si="95"/>
        <v>0</v>
      </c>
      <c r="AK114" s="55">
        <f t="shared" si="96"/>
        <v>0</v>
      </c>
      <c r="AL114" s="55">
        <f t="shared" si="97"/>
        <v>0</v>
      </c>
      <c r="AN114" s="55">
        <v>21</v>
      </c>
      <c r="AO114" s="55">
        <f t="shared" si="98"/>
        <v>0</v>
      </c>
      <c r="AP114" s="55">
        <f t="shared" si="99"/>
        <v>0</v>
      </c>
      <c r="AQ114" s="54" t="s">
        <v>179</v>
      </c>
      <c r="AV114" s="55">
        <f t="shared" si="100"/>
        <v>0</v>
      </c>
      <c r="AW114" s="55">
        <f t="shared" si="101"/>
        <v>0</v>
      </c>
      <c r="AX114" s="55">
        <f t="shared" si="102"/>
        <v>0</v>
      </c>
      <c r="AY114" s="54" t="s">
        <v>403</v>
      </c>
      <c r="AZ114" s="54" t="s">
        <v>289</v>
      </c>
      <c r="BA114" s="75" t="s">
        <v>160</v>
      </c>
      <c r="BC114" s="55">
        <f t="shared" si="103"/>
        <v>0</v>
      </c>
      <c r="BD114" s="55">
        <f t="shared" si="104"/>
        <v>0</v>
      </c>
      <c r="BE114" s="55">
        <v>0</v>
      </c>
      <c r="BF114" s="55">
        <f t="shared" si="105"/>
        <v>0</v>
      </c>
      <c r="BH114" s="55">
        <f t="shared" si="106"/>
        <v>0</v>
      </c>
      <c r="BI114" s="55">
        <f t="shared" si="107"/>
        <v>0</v>
      </c>
      <c r="BJ114" s="55">
        <f t="shared" si="108"/>
        <v>0</v>
      </c>
      <c r="BK114" s="54" t="s">
        <v>161</v>
      </c>
      <c r="BL114" s="55"/>
      <c r="BW114" s="55">
        <f t="shared" si="109"/>
        <v>21</v>
      </c>
      <c r="BX114" s="16" t="s">
        <v>463</v>
      </c>
    </row>
    <row r="115" spans="1:76" ht="15" customHeight="1" x14ac:dyDescent="0.3">
      <c r="A115" s="94" t="s">
        <v>464</v>
      </c>
      <c r="B115" s="94" t="s">
        <v>103</v>
      </c>
      <c r="C115" s="94" t="s">
        <v>465</v>
      </c>
      <c r="D115" s="199" t="s">
        <v>466</v>
      </c>
      <c r="E115" s="199"/>
      <c r="F115" s="94" t="s">
        <v>323</v>
      </c>
      <c r="G115" s="96">
        <v>0.219</v>
      </c>
      <c r="H115" s="97"/>
      <c r="I115" s="98">
        <v>21</v>
      </c>
      <c r="J115" s="97">
        <f t="shared" si="82"/>
        <v>0</v>
      </c>
      <c r="K115" s="97">
        <f t="shared" si="83"/>
        <v>0</v>
      </c>
      <c r="L115" s="97">
        <f t="shared" si="84"/>
        <v>0</v>
      </c>
      <c r="M115" s="97">
        <f t="shared" si="85"/>
        <v>0</v>
      </c>
      <c r="N115" s="97">
        <v>0</v>
      </c>
      <c r="O115" s="96">
        <f t="shared" si="86"/>
        <v>0</v>
      </c>
      <c r="P115" s="99" t="s">
        <v>156</v>
      </c>
      <c r="Z115" s="55">
        <f t="shared" si="87"/>
        <v>0</v>
      </c>
      <c r="AB115" s="55">
        <f t="shared" si="88"/>
        <v>0</v>
      </c>
      <c r="AC115" s="55">
        <f t="shared" si="89"/>
        <v>0</v>
      </c>
      <c r="AD115" s="55">
        <f t="shared" si="90"/>
        <v>0</v>
      </c>
      <c r="AE115" s="55">
        <f t="shared" si="91"/>
        <v>0</v>
      </c>
      <c r="AF115" s="55">
        <f t="shared" si="92"/>
        <v>0</v>
      </c>
      <c r="AG115" s="55">
        <f t="shared" si="93"/>
        <v>0</v>
      </c>
      <c r="AH115" s="55">
        <f t="shared" si="94"/>
        <v>0</v>
      </c>
      <c r="AI115" s="75" t="s">
        <v>103</v>
      </c>
      <c r="AJ115" s="55">
        <f t="shared" si="95"/>
        <v>0</v>
      </c>
      <c r="AK115" s="55">
        <f t="shared" si="96"/>
        <v>0</v>
      </c>
      <c r="AL115" s="55">
        <f t="shared" si="97"/>
        <v>0</v>
      </c>
      <c r="AN115" s="55">
        <v>21</v>
      </c>
      <c r="AO115" s="55">
        <f t="shared" si="98"/>
        <v>0</v>
      </c>
      <c r="AP115" s="55">
        <f t="shared" si="99"/>
        <v>0</v>
      </c>
      <c r="AQ115" s="54" t="s">
        <v>179</v>
      </c>
      <c r="AV115" s="55">
        <f t="shared" si="100"/>
        <v>0</v>
      </c>
      <c r="AW115" s="55">
        <f t="shared" si="101"/>
        <v>0</v>
      </c>
      <c r="AX115" s="55">
        <f t="shared" si="102"/>
        <v>0</v>
      </c>
      <c r="AY115" s="54" t="s">
        <v>403</v>
      </c>
      <c r="AZ115" s="54" t="s">
        <v>289</v>
      </c>
      <c r="BA115" s="75" t="s">
        <v>160</v>
      </c>
      <c r="BC115" s="55">
        <f t="shared" si="103"/>
        <v>0</v>
      </c>
      <c r="BD115" s="55">
        <f t="shared" si="104"/>
        <v>0</v>
      </c>
      <c r="BE115" s="55">
        <v>0</v>
      </c>
      <c r="BF115" s="55">
        <f t="shared" si="105"/>
        <v>0</v>
      </c>
      <c r="BH115" s="55">
        <f t="shared" si="106"/>
        <v>0</v>
      </c>
      <c r="BI115" s="55">
        <f t="shared" si="107"/>
        <v>0</v>
      </c>
      <c r="BJ115" s="55">
        <f t="shared" si="108"/>
        <v>0</v>
      </c>
      <c r="BK115" s="54" t="s">
        <v>161</v>
      </c>
      <c r="BL115" s="55"/>
      <c r="BW115" s="55">
        <f t="shared" si="109"/>
        <v>21</v>
      </c>
      <c r="BX115" s="16" t="s">
        <v>466</v>
      </c>
    </row>
    <row r="116" spans="1:76" ht="31.2" customHeight="1" x14ac:dyDescent="0.3">
      <c r="A116" s="56"/>
      <c r="B116" s="100" t="s">
        <v>106</v>
      </c>
      <c r="C116" s="100"/>
      <c r="D116" s="200" t="s">
        <v>107</v>
      </c>
      <c r="E116" s="200"/>
      <c r="F116" s="56" t="s">
        <v>96</v>
      </c>
      <c r="G116" s="101" t="s">
        <v>96</v>
      </c>
      <c r="H116" s="56"/>
      <c r="I116" s="56" t="s">
        <v>96</v>
      </c>
      <c r="J116" s="102">
        <f>J117+J119+J122+J125+J128+J130</f>
        <v>0</v>
      </c>
      <c r="K116" s="102">
        <f>K117+K119+K122+K125+K128+K130</f>
        <v>0</v>
      </c>
      <c r="L116" s="102">
        <f>L117+L119+L122+L125+L128+L130</f>
        <v>0</v>
      </c>
      <c r="M116" s="102">
        <f>M117+M119+M122+M125+M128+M130</f>
        <v>0</v>
      </c>
      <c r="N116" s="103"/>
      <c r="O116" s="104">
        <f>O117+O119+O122+O125+O128+O130</f>
        <v>212.80173000000002</v>
      </c>
      <c r="P116" s="103"/>
    </row>
    <row r="117" spans="1:76" ht="15" customHeight="1" x14ac:dyDescent="0.3">
      <c r="A117" s="88"/>
      <c r="B117" s="89" t="s">
        <v>106</v>
      </c>
      <c r="C117" s="89" t="s">
        <v>203</v>
      </c>
      <c r="D117" s="198" t="s">
        <v>467</v>
      </c>
      <c r="E117" s="198"/>
      <c r="F117" s="88" t="s">
        <v>96</v>
      </c>
      <c r="G117" s="90" t="s">
        <v>96</v>
      </c>
      <c r="H117" s="88"/>
      <c r="I117" s="88" t="s">
        <v>96</v>
      </c>
      <c r="J117" s="91">
        <f>SUM(J118)</f>
        <v>0</v>
      </c>
      <c r="K117" s="91">
        <f>SUM(K118)</f>
        <v>0</v>
      </c>
      <c r="L117" s="91">
        <f>SUM(L118)</f>
        <v>0</v>
      </c>
      <c r="M117" s="91">
        <f>SUM(M118)</f>
        <v>0</v>
      </c>
      <c r="N117" s="92"/>
      <c r="O117" s="93">
        <f>SUM(O118)</f>
        <v>66.785730000000001</v>
      </c>
      <c r="P117" s="92"/>
      <c r="AI117" s="75" t="s">
        <v>106</v>
      </c>
      <c r="AS117" s="68">
        <f>SUM(AJ118)</f>
        <v>0</v>
      </c>
      <c r="AT117" s="68">
        <f>SUM(AK118)</f>
        <v>0</v>
      </c>
      <c r="AU117" s="68">
        <f>SUM(AL118)</f>
        <v>0</v>
      </c>
    </row>
    <row r="118" spans="1:76" ht="15" customHeight="1" x14ac:dyDescent="0.3">
      <c r="A118" s="94" t="s">
        <v>468</v>
      </c>
      <c r="B118" s="94" t="s">
        <v>106</v>
      </c>
      <c r="C118" s="94" t="s">
        <v>469</v>
      </c>
      <c r="D118" s="199" t="s">
        <v>470</v>
      </c>
      <c r="E118" s="199"/>
      <c r="F118" s="94" t="s">
        <v>155</v>
      </c>
      <c r="G118" s="96">
        <v>202.381</v>
      </c>
      <c r="H118" s="97"/>
      <c r="I118" s="98">
        <v>21</v>
      </c>
      <c r="J118" s="97">
        <f>ROUND(G118*AO118,2)</f>
        <v>0</v>
      </c>
      <c r="K118" s="97">
        <f>ROUND(G118*AP118,2)</f>
        <v>0</v>
      </c>
      <c r="L118" s="97">
        <f>ROUND(G118*H118,2)</f>
        <v>0</v>
      </c>
      <c r="M118" s="97">
        <f>L118*(1+BW118/100)</f>
        <v>0</v>
      </c>
      <c r="N118" s="97">
        <v>0.33</v>
      </c>
      <c r="O118" s="96">
        <f>G118*N118</f>
        <v>66.785730000000001</v>
      </c>
      <c r="P118" s="99" t="s">
        <v>156</v>
      </c>
      <c r="Z118" s="55">
        <f>ROUND(IF(AQ118="5",BJ118,0),2)</f>
        <v>0</v>
      </c>
      <c r="AB118" s="55">
        <f>ROUND(IF(AQ118="1",BH118,0),2)</f>
        <v>0</v>
      </c>
      <c r="AC118" s="55">
        <f>ROUND(IF(AQ118="1",BI118,0),2)</f>
        <v>0</v>
      </c>
      <c r="AD118" s="55">
        <f>ROUND(IF(AQ118="7",BH118,0),2)</f>
        <v>0</v>
      </c>
      <c r="AE118" s="55">
        <f>ROUND(IF(AQ118="7",BI118,0),2)</f>
        <v>0</v>
      </c>
      <c r="AF118" s="55">
        <f>ROUND(IF(AQ118="2",BH118,0),2)</f>
        <v>0</v>
      </c>
      <c r="AG118" s="55">
        <f>ROUND(IF(AQ118="2",BI118,0),2)</f>
        <v>0</v>
      </c>
      <c r="AH118" s="55">
        <f>ROUND(IF(AQ118="0",BJ118,0),2)</f>
        <v>0</v>
      </c>
      <c r="AI118" s="75" t="s">
        <v>106</v>
      </c>
      <c r="AJ118" s="55">
        <f>IF(AN118=0,L118,0)</f>
        <v>0</v>
      </c>
      <c r="AK118" s="55">
        <f>IF(AN118=12,L118,0)</f>
        <v>0</v>
      </c>
      <c r="AL118" s="55">
        <f>IF(AN118=21,L118,0)</f>
        <v>0</v>
      </c>
      <c r="AN118" s="55">
        <v>21</v>
      </c>
      <c r="AO118" s="55">
        <f>H118*0</f>
        <v>0</v>
      </c>
      <c r="AP118" s="55">
        <f>H118*(1-0)</f>
        <v>0</v>
      </c>
      <c r="AQ118" s="54" t="s">
        <v>152</v>
      </c>
      <c r="AV118" s="55">
        <f>ROUND(AW118+AX118,2)</f>
        <v>0</v>
      </c>
      <c r="AW118" s="55">
        <f>ROUND(G118*AO118,2)</f>
        <v>0</v>
      </c>
      <c r="AX118" s="55">
        <f>ROUND(G118*AP118,2)</f>
        <v>0</v>
      </c>
      <c r="AY118" s="54" t="s">
        <v>471</v>
      </c>
      <c r="AZ118" s="54" t="s">
        <v>472</v>
      </c>
      <c r="BA118" s="75" t="s">
        <v>473</v>
      </c>
      <c r="BC118" s="55">
        <f>AW118+AX118</f>
        <v>0</v>
      </c>
      <c r="BD118" s="55">
        <f>H118/(100-BE118)*100</f>
        <v>0</v>
      </c>
      <c r="BE118" s="55">
        <v>0</v>
      </c>
      <c r="BF118" s="55">
        <f>O118</f>
        <v>66.785730000000001</v>
      </c>
      <c r="BH118" s="55">
        <f>G118*AO118</f>
        <v>0</v>
      </c>
      <c r="BI118" s="55">
        <f>G118*AP118</f>
        <v>0</v>
      </c>
      <c r="BJ118" s="55">
        <f>G118*H118</f>
        <v>0</v>
      </c>
      <c r="BK118" s="54" t="s">
        <v>161</v>
      </c>
      <c r="BL118" s="55">
        <v>11</v>
      </c>
      <c r="BW118" s="55">
        <f>I118</f>
        <v>21</v>
      </c>
      <c r="BX118" s="16" t="s">
        <v>470</v>
      </c>
    </row>
    <row r="119" spans="1:76" ht="15" customHeight="1" x14ac:dyDescent="0.3">
      <c r="A119" s="88"/>
      <c r="B119" s="89" t="s">
        <v>106</v>
      </c>
      <c r="C119" s="89" t="s">
        <v>223</v>
      </c>
      <c r="D119" s="198" t="s">
        <v>474</v>
      </c>
      <c r="E119" s="198"/>
      <c r="F119" s="88" t="s">
        <v>96</v>
      </c>
      <c r="G119" s="90" t="s">
        <v>96</v>
      </c>
      <c r="H119" s="88"/>
      <c r="I119" s="88" t="s">
        <v>96</v>
      </c>
      <c r="J119" s="91">
        <f>SUM(J120:J121)</f>
        <v>0</v>
      </c>
      <c r="K119" s="91">
        <f>SUM(K120:K121)</f>
        <v>0</v>
      </c>
      <c r="L119" s="91">
        <f>SUM(L120:L121)</f>
        <v>0</v>
      </c>
      <c r="M119" s="91">
        <f>SUM(M120:M121)</f>
        <v>0</v>
      </c>
      <c r="N119" s="92"/>
      <c r="O119" s="93">
        <f>SUM(O120:O121)</f>
        <v>0</v>
      </c>
      <c r="P119" s="92"/>
      <c r="AI119" s="75" t="s">
        <v>106</v>
      </c>
      <c r="AS119" s="68">
        <f>SUM(AJ120:AJ121)</f>
        <v>0</v>
      </c>
      <c r="AT119" s="68">
        <f>SUM(AK120:AK121)</f>
        <v>0</v>
      </c>
      <c r="AU119" s="68">
        <f>SUM(AL120:AL121)</f>
        <v>0</v>
      </c>
    </row>
    <row r="120" spans="1:76" ht="15" customHeight="1" x14ac:dyDescent="0.3">
      <c r="A120" s="94" t="s">
        <v>475</v>
      </c>
      <c r="B120" s="94" t="s">
        <v>106</v>
      </c>
      <c r="C120" s="94" t="s">
        <v>476</v>
      </c>
      <c r="D120" s="199" t="s">
        <v>477</v>
      </c>
      <c r="E120" s="199"/>
      <c r="F120" s="94" t="s">
        <v>366</v>
      </c>
      <c r="G120" s="96">
        <v>71.153999999999996</v>
      </c>
      <c r="H120" s="97"/>
      <c r="I120" s="98">
        <v>21</v>
      </c>
      <c r="J120" s="97">
        <f>ROUND(G120*AO120,2)</f>
        <v>0</v>
      </c>
      <c r="K120" s="97">
        <f>ROUND(G120*AP120,2)</f>
        <v>0</v>
      </c>
      <c r="L120" s="97">
        <f>ROUND(G120*H120,2)</f>
        <v>0</v>
      </c>
      <c r="M120" s="97">
        <f>L120*(1+BW120/100)</f>
        <v>0</v>
      </c>
      <c r="N120" s="97">
        <v>0</v>
      </c>
      <c r="O120" s="96">
        <f>G120*N120</f>
        <v>0</v>
      </c>
      <c r="P120" s="99" t="s">
        <v>156</v>
      </c>
      <c r="Z120" s="55">
        <f>ROUND(IF(AQ120="5",BJ120,0),2)</f>
        <v>0</v>
      </c>
      <c r="AB120" s="55">
        <f>ROUND(IF(AQ120="1",BH120,0),2)</f>
        <v>0</v>
      </c>
      <c r="AC120" s="55">
        <f>ROUND(IF(AQ120="1",BI120,0),2)</f>
        <v>0</v>
      </c>
      <c r="AD120" s="55">
        <f>ROUND(IF(AQ120="7",BH120,0),2)</f>
        <v>0</v>
      </c>
      <c r="AE120" s="55">
        <f>ROUND(IF(AQ120="7",BI120,0),2)</f>
        <v>0</v>
      </c>
      <c r="AF120" s="55">
        <f>ROUND(IF(AQ120="2",BH120,0),2)</f>
        <v>0</v>
      </c>
      <c r="AG120" s="55">
        <f>ROUND(IF(AQ120="2",BI120,0),2)</f>
        <v>0</v>
      </c>
      <c r="AH120" s="55">
        <f>ROUND(IF(AQ120="0",BJ120,0),2)</f>
        <v>0</v>
      </c>
      <c r="AI120" s="75" t="s">
        <v>106</v>
      </c>
      <c r="AJ120" s="55">
        <f>IF(AN120=0,L120,0)</f>
        <v>0</v>
      </c>
      <c r="AK120" s="55">
        <f>IF(AN120=12,L120,0)</f>
        <v>0</v>
      </c>
      <c r="AL120" s="55">
        <f>IF(AN120=21,L120,0)</f>
        <v>0</v>
      </c>
      <c r="AN120" s="55">
        <v>21</v>
      </c>
      <c r="AO120" s="55">
        <f>H120*0</f>
        <v>0</v>
      </c>
      <c r="AP120" s="55">
        <f>H120*(1-0)</f>
        <v>0</v>
      </c>
      <c r="AQ120" s="54" t="s">
        <v>152</v>
      </c>
      <c r="AV120" s="55">
        <f>ROUND(AW120+AX120,2)</f>
        <v>0</v>
      </c>
      <c r="AW120" s="55">
        <f>ROUND(G120*AO120,2)</f>
        <v>0</v>
      </c>
      <c r="AX120" s="55">
        <f>ROUND(G120*AP120,2)</f>
        <v>0</v>
      </c>
      <c r="AY120" s="54" t="s">
        <v>478</v>
      </c>
      <c r="AZ120" s="54" t="s">
        <v>472</v>
      </c>
      <c r="BA120" s="75" t="s">
        <v>473</v>
      </c>
      <c r="BC120" s="55">
        <f>AW120+AX120</f>
        <v>0</v>
      </c>
      <c r="BD120" s="55">
        <f>H120/(100-BE120)*100</f>
        <v>0</v>
      </c>
      <c r="BE120" s="55">
        <v>0</v>
      </c>
      <c r="BF120" s="55">
        <f>O120</f>
        <v>0</v>
      </c>
      <c r="BH120" s="55">
        <f>G120*AO120</f>
        <v>0</v>
      </c>
      <c r="BI120" s="55">
        <f>G120*AP120</f>
        <v>0</v>
      </c>
      <c r="BJ120" s="55">
        <f>G120*H120</f>
        <v>0</v>
      </c>
      <c r="BK120" s="54" t="s">
        <v>161</v>
      </c>
      <c r="BL120" s="55">
        <v>16</v>
      </c>
      <c r="BW120" s="55">
        <f>I120</f>
        <v>21</v>
      </c>
      <c r="BX120" s="16" t="s">
        <v>477</v>
      </c>
    </row>
    <row r="121" spans="1:76" ht="15" customHeight="1" x14ac:dyDescent="0.3">
      <c r="A121" s="94" t="s">
        <v>479</v>
      </c>
      <c r="B121" s="94" t="s">
        <v>106</v>
      </c>
      <c r="C121" s="94" t="s">
        <v>480</v>
      </c>
      <c r="D121" s="199" t="s">
        <v>481</v>
      </c>
      <c r="E121" s="199"/>
      <c r="F121" s="94" t="s">
        <v>366</v>
      </c>
      <c r="G121" s="96">
        <v>569.23199999999997</v>
      </c>
      <c r="H121" s="97"/>
      <c r="I121" s="98">
        <v>21</v>
      </c>
      <c r="J121" s="97">
        <f>ROUND(G121*AO121,2)</f>
        <v>0</v>
      </c>
      <c r="K121" s="97">
        <f>ROUND(G121*AP121,2)</f>
        <v>0</v>
      </c>
      <c r="L121" s="97">
        <f>ROUND(G121*H121,2)</f>
        <v>0</v>
      </c>
      <c r="M121" s="97">
        <f>L121*(1+BW121/100)</f>
        <v>0</v>
      </c>
      <c r="N121" s="97">
        <v>0</v>
      </c>
      <c r="O121" s="96">
        <f>G121*N121</f>
        <v>0</v>
      </c>
      <c r="P121" s="99" t="s">
        <v>156</v>
      </c>
      <c r="Z121" s="55">
        <f>ROUND(IF(AQ121="5",BJ121,0),2)</f>
        <v>0</v>
      </c>
      <c r="AB121" s="55">
        <f>ROUND(IF(AQ121="1",BH121,0),2)</f>
        <v>0</v>
      </c>
      <c r="AC121" s="55">
        <f>ROUND(IF(AQ121="1",BI121,0),2)</f>
        <v>0</v>
      </c>
      <c r="AD121" s="55">
        <f>ROUND(IF(AQ121="7",BH121,0),2)</f>
        <v>0</v>
      </c>
      <c r="AE121" s="55">
        <f>ROUND(IF(AQ121="7",BI121,0),2)</f>
        <v>0</v>
      </c>
      <c r="AF121" s="55">
        <f>ROUND(IF(AQ121="2",BH121,0),2)</f>
        <v>0</v>
      </c>
      <c r="AG121" s="55">
        <f>ROUND(IF(AQ121="2",BI121,0),2)</f>
        <v>0</v>
      </c>
      <c r="AH121" s="55">
        <f>ROUND(IF(AQ121="0",BJ121,0),2)</f>
        <v>0</v>
      </c>
      <c r="AI121" s="75" t="s">
        <v>106</v>
      </c>
      <c r="AJ121" s="55">
        <f>IF(AN121=0,L121,0)</f>
        <v>0</v>
      </c>
      <c r="AK121" s="55">
        <f>IF(AN121=12,L121,0)</f>
        <v>0</v>
      </c>
      <c r="AL121" s="55">
        <f>IF(AN121=21,L121,0)</f>
        <v>0</v>
      </c>
      <c r="AN121" s="55">
        <v>21</v>
      </c>
      <c r="AO121" s="55">
        <f>H121*0</f>
        <v>0</v>
      </c>
      <c r="AP121" s="55">
        <f>H121*(1-0)</f>
        <v>0</v>
      </c>
      <c r="AQ121" s="54" t="s">
        <v>152</v>
      </c>
      <c r="AV121" s="55">
        <f>ROUND(AW121+AX121,2)</f>
        <v>0</v>
      </c>
      <c r="AW121" s="55">
        <f>ROUND(G121*AO121,2)</f>
        <v>0</v>
      </c>
      <c r="AX121" s="55">
        <f>ROUND(G121*AP121,2)</f>
        <v>0</v>
      </c>
      <c r="AY121" s="54" t="s">
        <v>478</v>
      </c>
      <c r="AZ121" s="54" t="s">
        <v>472</v>
      </c>
      <c r="BA121" s="75" t="s">
        <v>473</v>
      </c>
      <c r="BC121" s="55">
        <f>AW121+AX121</f>
        <v>0</v>
      </c>
      <c r="BD121" s="55">
        <f>H121/(100-BE121)*100</f>
        <v>0</v>
      </c>
      <c r="BE121" s="55">
        <v>0</v>
      </c>
      <c r="BF121" s="55">
        <f>O121</f>
        <v>0</v>
      </c>
      <c r="BH121" s="55">
        <f>G121*AO121</f>
        <v>0</v>
      </c>
      <c r="BI121" s="55">
        <f>G121*AP121</f>
        <v>0</v>
      </c>
      <c r="BJ121" s="55">
        <f>G121*H121</f>
        <v>0</v>
      </c>
      <c r="BK121" s="54" t="s">
        <v>161</v>
      </c>
      <c r="BL121" s="55">
        <v>16</v>
      </c>
      <c r="BW121" s="55">
        <f>I121</f>
        <v>21</v>
      </c>
      <c r="BX121" s="16" t="s">
        <v>481</v>
      </c>
    </row>
    <row r="122" spans="1:76" ht="15" customHeight="1" x14ac:dyDescent="0.3">
      <c r="A122" s="88"/>
      <c r="B122" s="89" t="s">
        <v>106</v>
      </c>
      <c r="C122" s="89" t="s">
        <v>228</v>
      </c>
      <c r="D122" s="198" t="s">
        <v>482</v>
      </c>
      <c r="E122" s="198"/>
      <c r="F122" s="88" t="s">
        <v>96</v>
      </c>
      <c r="G122" s="90" t="s">
        <v>96</v>
      </c>
      <c r="H122" s="88"/>
      <c r="I122" s="88" t="s">
        <v>96</v>
      </c>
      <c r="J122" s="91">
        <f>SUM(J123:J124)</f>
        <v>0</v>
      </c>
      <c r="K122" s="91">
        <f>SUM(K123:K124)</f>
        <v>0</v>
      </c>
      <c r="L122" s="91">
        <f>SUM(L123:L124)</f>
        <v>0</v>
      </c>
      <c r="M122" s="91">
        <f>SUM(M123:M124)</f>
        <v>0</v>
      </c>
      <c r="N122" s="92"/>
      <c r="O122" s="93">
        <f>SUM(O123:O124)</f>
        <v>113.846</v>
      </c>
      <c r="P122" s="92"/>
      <c r="AI122" s="75" t="s">
        <v>106</v>
      </c>
      <c r="AS122" s="68">
        <f>SUM(AJ123:AJ124)</f>
        <v>0</v>
      </c>
      <c r="AT122" s="68">
        <f>SUM(AK123:AK124)</f>
        <v>0</v>
      </c>
      <c r="AU122" s="68">
        <f>SUM(AL123:AL124)</f>
        <v>0</v>
      </c>
    </row>
    <row r="123" spans="1:76" ht="23.85" customHeight="1" x14ac:dyDescent="0.3">
      <c r="A123" s="94" t="s">
        <v>483</v>
      </c>
      <c r="B123" s="94" t="s">
        <v>106</v>
      </c>
      <c r="C123" s="94" t="s">
        <v>484</v>
      </c>
      <c r="D123" s="199" t="s">
        <v>485</v>
      </c>
      <c r="E123" s="199"/>
      <c r="F123" s="94" t="s">
        <v>366</v>
      </c>
      <c r="G123" s="96">
        <v>71.153999999999996</v>
      </c>
      <c r="H123" s="97"/>
      <c r="I123" s="98">
        <v>21</v>
      </c>
      <c r="J123" s="97">
        <f>ROUND(G123*AO123,2)</f>
        <v>0</v>
      </c>
      <c r="K123" s="97">
        <f>ROUND(G123*AP123,2)</f>
        <v>0</v>
      </c>
      <c r="L123" s="97">
        <f>ROUND(G123*H123,2)</f>
        <v>0</v>
      </c>
      <c r="M123" s="97">
        <f>L123*(1+BW123/100)</f>
        <v>0</v>
      </c>
      <c r="N123" s="97">
        <v>0</v>
      </c>
      <c r="O123" s="96">
        <f>G123*N123</f>
        <v>0</v>
      </c>
      <c r="P123" s="99" t="s">
        <v>156</v>
      </c>
      <c r="Z123" s="55">
        <f>ROUND(IF(AQ123="5",BJ123,0),2)</f>
        <v>0</v>
      </c>
      <c r="AB123" s="55">
        <f>ROUND(IF(AQ123="1",BH123,0),2)</f>
        <v>0</v>
      </c>
      <c r="AC123" s="55">
        <f>ROUND(IF(AQ123="1",BI123,0),2)</f>
        <v>0</v>
      </c>
      <c r="AD123" s="55">
        <f>ROUND(IF(AQ123="7",BH123,0),2)</f>
        <v>0</v>
      </c>
      <c r="AE123" s="55">
        <f>ROUND(IF(AQ123="7",BI123,0),2)</f>
        <v>0</v>
      </c>
      <c r="AF123" s="55">
        <f>ROUND(IF(AQ123="2",BH123,0),2)</f>
        <v>0</v>
      </c>
      <c r="AG123" s="55">
        <f>ROUND(IF(AQ123="2",BI123,0),2)</f>
        <v>0</v>
      </c>
      <c r="AH123" s="55">
        <f>ROUND(IF(AQ123="0",BJ123,0),2)</f>
        <v>0</v>
      </c>
      <c r="AI123" s="75" t="s">
        <v>106</v>
      </c>
      <c r="AJ123" s="55">
        <f>IF(AN123=0,L123,0)</f>
        <v>0</v>
      </c>
      <c r="AK123" s="55">
        <f>IF(AN123=12,L123,0)</f>
        <v>0</v>
      </c>
      <c r="AL123" s="55">
        <f>IF(AN123=21,L123,0)</f>
        <v>0</v>
      </c>
      <c r="AN123" s="55">
        <v>21</v>
      </c>
      <c r="AO123" s="55">
        <f>H123*0</f>
        <v>0</v>
      </c>
      <c r="AP123" s="55">
        <f>H123*(1-0)</f>
        <v>0</v>
      </c>
      <c r="AQ123" s="54" t="s">
        <v>152</v>
      </c>
      <c r="AV123" s="55">
        <f>ROUND(AW123+AX123,2)</f>
        <v>0</v>
      </c>
      <c r="AW123" s="55">
        <f>ROUND(G123*AO123,2)</f>
        <v>0</v>
      </c>
      <c r="AX123" s="55">
        <f>ROUND(G123*AP123,2)</f>
        <v>0</v>
      </c>
      <c r="AY123" s="54" t="s">
        <v>486</v>
      </c>
      <c r="AZ123" s="54" t="s">
        <v>472</v>
      </c>
      <c r="BA123" s="75" t="s">
        <v>473</v>
      </c>
      <c r="BC123" s="55">
        <f>AW123+AX123</f>
        <v>0</v>
      </c>
      <c r="BD123" s="55">
        <f>H123/(100-BE123)*100</f>
        <v>0</v>
      </c>
      <c r="BE123" s="55">
        <v>0</v>
      </c>
      <c r="BF123" s="55">
        <f>O123</f>
        <v>0</v>
      </c>
      <c r="BH123" s="55">
        <f>G123*AO123</f>
        <v>0</v>
      </c>
      <c r="BI123" s="55">
        <f>G123*AP123</f>
        <v>0</v>
      </c>
      <c r="BJ123" s="55">
        <f>G123*H123</f>
        <v>0</v>
      </c>
      <c r="BK123" s="54" t="s">
        <v>161</v>
      </c>
      <c r="BL123" s="55">
        <v>17</v>
      </c>
      <c r="BW123" s="55">
        <f>I123</f>
        <v>21</v>
      </c>
      <c r="BX123" s="16" t="s">
        <v>485</v>
      </c>
    </row>
    <row r="124" spans="1:76" ht="23.85" customHeight="1" x14ac:dyDescent="0.3">
      <c r="A124" s="105" t="s">
        <v>282</v>
      </c>
      <c r="B124" s="105" t="s">
        <v>106</v>
      </c>
      <c r="C124" s="105" t="s">
        <v>487</v>
      </c>
      <c r="D124" s="201" t="s">
        <v>488</v>
      </c>
      <c r="E124" s="201"/>
      <c r="F124" s="105" t="s">
        <v>323</v>
      </c>
      <c r="G124" s="107">
        <v>113.846</v>
      </c>
      <c r="H124" s="108"/>
      <c r="I124" s="109">
        <v>21</v>
      </c>
      <c r="J124" s="108">
        <f>ROUND(G124*AO124,2)</f>
        <v>0</v>
      </c>
      <c r="K124" s="108">
        <f>ROUND(G124*AP124,2)</f>
        <v>0</v>
      </c>
      <c r="L124" s="108">
        <f>ROUND(G124*H124,2)</f>
        <v>0</v>
      </c>
      <c r="M124" s="108">
        <f>L124*(1+BW124/100)</f>
        <v>0</v>
      </c>
      <c r="N124" s="108">
        <v>1</v>
      </c>
      <c r="O124" s="107">
        <f>G124*N124</f>
        <v>113.846</v>
      </c>
      <c r="P124" s="110" t="s">
        <v>156</v>
      </c>
      <c r="Z124" s="55">
        <f>ROUND(IF(AQ124="5",BJ124,0),2)</f>
        <v>0</v>
      </c>
      <c r="AB124" s="55">
        <f>ROUND(IF(AQ124="1",BH124,0),2)</f>
        <v>0</v>
      </c>
      <c r="AC124" s="55">
        <f>ROUND(IF(AQ124="1",BI124,0),2)</f>
        <v>0</v>
      </c>
      <c r="AD124" s="55">
        <f>ROUND(IF(AQ124="7",BH124,0),2)</f>
        <v>0</v>
      </c>
      <c r="AE124" s="55">
        <f>ROUND(IF(AQ124="7",BI124,0),2)</f>
        <v>0</v>
      </c>
      <c r="AF124" s="55">
        <f>ROUND(IF(AQ124="2",BH124,0),2)</f>
        <v>0</v>
      </c>
      <c r="AG124" s="55">
        <f>ROUND(IF(AQ124="2",BI124,0),2)</f>
        <v>0</v>
      </c>
      <c r="AH124" s="55">
        <f>ROUND(IF(AQ124="0",BJ124,0),2)</f>
        <v>0</v>
      </c>
      <c r="AI124" s="75" t="s">
        <v>106</v>
      </c>
      <c r="AJ124" s="111">
        <f>IF(AN124=0,L124,0)</f>
        <v>0</v>
      </c>
      <c r="AK124" s="111">
        <f>IF(AN124=12,L124,0)</f>
        <v>0</v>
      </c>
      <c r="AL124" s="111">
        <f>IF(AN124=21,L124,0)</f>
        <v>0</v>
      </c>
      <c r="AN124" s="55">
        <v>21</v>
      </c>
      <c r="AO124" s="55">
        <f>H124*1</f>
        <v>0</v>
      </c>
      <c r="AP124" s="55">
        <f>H124*(1-1)</f>
        <v>0</v>
      </c>
      <c r="AQ124" s="112" t="s">
        <v>152</v>
      </c>
      <c r="AV124" s="55">
        <f>ROUND(AW124+AX124,2)</f>
        <v>0</v>
      </c>
      <c r="AW124" s="55">
        <f>ROUND(G124*AO124,2)</f>
        <v>0</v>
      </c>
      <c r="AX124" s="55">
        <f>ROUND(G124*AP124,2)</f>
        <v>0</v>
      </c>
      <c r="AY124" s="54" t="s">
        <v>486</v>
      </c>
      <c r="AZ124" s="54" t="s">
        <v>472</v>
      </c>
      <c r="BA124" s="75" t="s">
        <v>473</v>
      </c>
      <c r="BC124" s="55">
        <f>AW124+AX124</f>
        <v>0</v>
      </c>
      <c r="BD124" s="55">
        <f>H124/(100-BE124)*100</f>
        <v>0</v>
      </c>
      <c r="BE124" s="55">
        <v>0</v>
      </c>
      <c r="BF124" s="55">
        <f>O124</f>
        <v>113.846</v>
      </c>
      <c r="BH124" s="111">
        <f>G124*AO124</f>
        <v>0</v>
      </c>
      <c r="BI124" s="111">
        <f>G124*AP124</f>
        <v>0</v>
      </c>
      <c r="BJ124" s="111">
        <f>G124*H124</f>
        <v>0</v>
      </c>
      <c r="BK124" s="112" t="s">
        <v>489</v>
      </c>
      <c r="BL124" s="55">
        <v>17</v>
      </c>
      <c r="BW124" s="55">
        <f>I124</f>
        <v>21</v>
      </c>
      <c r="BX124" s="113" t="s">
        <v>488</v>
      </c>
    </row>
    <row r="125" spans="1:76" ht="15" customHeight="1" x14ac:dyDescent="0.3">
      <c r="A125" s="88"/>
      <c r="B125" s="89" t="s">
        <v>106</v>
      </c>
      <c r="C125" s="89" t="s">
        <v>324</v>
      </c>
      <c r="D125" s="198" t="s">
        <v>325</v>
      </c>
      <c r="E125" s="198"/>
      <c r="F125" s="88" t="s">
        <v>96</v>
      </c>
      <c r="G125" s="90" t="s">
        <v>96</v>
      </c>
      <c r="H125" s="88"/>
      <c r="I125" s="88" t="s">
        <v>96</v>
      </c>
      <c r="J125" s="91">
        <f>SUM(J126:J127)</f>
        <v>0</v>
      </c>
      <c r="K125" s="91">
        <f>SUM(K126:K127)</f>
        <v>0</v>
      </c>
      <c r="L125" s="91">
        <f>SUM(L126:L127)</f>
        <v>0</v>
      </c>
      <c r="M125" s="91">
        <f>SUM(M126:M127)</f>
        <v>0</v>
      </c>
      <c r="N125" s="92"/>
      <c r="O125" s="93">
        <f>SUM(O126:O127)</f>
        <v>31.8</v>
      </c>
      <c r="P125" s="92"/>
      <c r="AI125" s="75" t="s">
        <v>106</v>
      </c>
      <c r="AS125" s="68">
        <f>SUM(AJ126:AJ127)</f>
        <v>0</v>
      </c>
      <c r="AT125" s="68">
        <f>SUM(AK126:AK127)</f>
        <v>0</v>
      </c>
      <c r="AU125" s="68">
        <f>SUM(AL126:AL127)</f>
        <v>0</v>
      </c>
    </row>
    <row r="126" spans="1:76" ht="15" customHeight="1" x14ac:dyDescent="0.3">
      <c r="A126" s="94" t="s">
        <v>490</v>
      </c>
      <c r="B126" s="94" t="s">
        <v>106</v>
      </c>
      <c r="C126" s="94" t="s">
        <v>374</v>
      </c>
      <c r="D126" s="199" t="s">
        <v>375</v>
      </c>
      <c r="E126" s="199"/>
      <c r="F126" s="94" t="s">
        <v>366</v>
      </c>
      <c r="G126" s="96">
        <v>9</v>
      </c>
      <c r="H126" s="97"/>
      <c r="I126" s="98">
        <v>21</v>
      </c>
      <c r="J126" s="97">
        <f>ROUND(G126*AO126,2)</f>
        <v>0</v>
      </c>
      <c r="K126" s="97">
        <f>ROUND(G126*AP126,2)</f>
        <v>0</v>
      </c>
      <c r="L126" s="97">
        <f>ROUND(G126*H126,2)</f>
        <v>0</v>
      </c>
      <c r="M126" s="97">
        <f>L126*(1+BW126/100)</f>
        <v>0</v>
      </c>
      <c r="N126" s="97">
        <v>2.2000000000000002</v>
      </c>
      <c r="O126" s="96">
        <f>G126*N126</f>
        <v>19.8</v>
      </c>
      <c r="P126" s="99" t="s">
        <v>156</v>
      </c>
      <c r="Z126" s="55">
        <f>ROUND(IF(AQ126="5",BJ126,0),2)</f>
        <v>0</v>
      </c>
      <c r="AB126" s="55">
        <f>ROUND(IF(AQ126="1",BH126,0),2)</f>
        <v>0</v>
      </c>
      <c r="AC126" s="55">
        <f>ROUND(IF(AQ126="1",BI126,0),2)</f>
        <v>0</v>
      </c>
      <c r="AD126" s="55">
        <f>ROUND(IF(AQ126="7",BH126,0),2)</f>
        <v>0</v>
      </c>
      <c r="AE126" s="55">
        <f>ROUND(IF(AQ126="7",BI126,0),2)</f>
        <v>0</v>
      </c>
      <c r="AF126" s="55">
        <f>ROUND(IF(AQ126="2",BH126,0),2)</f>
        <v>0</v>
      </c>
      <c r="AG126" s="55">
        <f>ROUND(IF(AQ126="2",BI126,0),2)</f>
        <v>0</v>
      </c>
      <c r="AH126" s="55">
        <f>ROUND(IF(AQ126="0",BJ126,0),2)</f>
        <v>0</v>
      </c>
      <c r="AI126" s="75" t="s">
        <v>106</v>
      </c>
      <c r="AJ126" s="55">
        <f>IF(AN126=0,L126,0)</f>
        <v>0</v>
      </c>
      <c r="AK126" s="55">
        <f>IF(AN126=12,L126,0)</f>
        <v>0</v>
      </c>
      <c r="AL126" s="55">
        <f>IF(AN126=21,L126,0)</f>
        <v>0</v>
      </c>
      <c r="AN126" s="55">
        <v>21</v>
      </c>
      <c r="AO126" s="55">
        <f>H126*0</f>
        <v>0</v>
      </c>
      <c r="AP126" s="55">
        <f>H126*(1-0)</f>
        <v>0</v>
      </c>
      <c r="AQ126" s="54" t="s">
        <v>152</v>
      </c>
      <c r="AV126" s="55">
        <f>ROUND(AW126+AX126,2)</f>
        <v>0</v>
      </c>
      <c r="AW126" s="55">
        <f>ROUND(G126*AO126,2)</f>
        <v>0</v>
      </c>
      <c r="AX126" s="55">
        <f>ROUND(G126*AP126,2)</f>
        <v>0</v>
      </c>
      <c r="AY126" s="54" t="s">
        <v>329</v>
      </c>
      <c r="AZ126" s="54" t="s">
        <v>491</v>
      </c>
      <c r="BA126" s="75" t="s">
        <v>473</v>
      </c>
      <c r="BC126" s="55">
        <f>AW126+AX126</f>
        <v>0</v>
      </c>
      <c r="BD126" s="55">
        <f>H126/(100-BE126)*100</f>
        <v>0</v>
      </c>
      <c r="BE126" s="55">
        <v>0</v>
      </c>
      <c r="BF126" s="55">
        <f>O126</f>
        <v>19.8</v>
      </c>
      <c r="BH126" s="55">
        <f>G126*AO126</f>
        <v>0</v>
      </c>
      <c r="BI126" s="55">
        <f>G126*AP126</f>
        <v>0</v>
      </c>
      <c r="BJ126" s="55">
        <f>G126*H126</f>
        <v>0</v>
      </c>
      <c r="BK126" s="54" t="s">
        <v>161</v>
      </c>
      <c r="BL126" s="55">
        <v>96</v>
      </c>
      <c r="BW126" s="55">
        <f>I126</f>
        <v>21</v>
      </c>
      <c r="BX126" s="16" t="s">
        <v>375</v>
      </c>
    </row>
    <row r="127" spans="1:76" ht="15" customHeight="1" x14ac:dyDescent="0.3">
      <c r="A127" s="94" t="s">
        <v>492</v>
      </c>
      <c r="B127" s="94" t="s">
        <v>106</v>
      </c>
      <c r="C127" s="94" t="s">
        <v>371</v>
      </c>
      <c r="D127" s="199" t="s">
        <v>372</v>
      </c>
      <c r="E127" s="199"/>
      <c r="F127" s="94" t="s">
        <v>366</v>
      </c>
      <c r="G127" s="96">
        <v>6</v>
      </c>
      <c r="H127" s="97"/>
      <c r="I127" s="98">
        <v>21</v>
      </c>
      <c r="J127" s="97">
        <f>ROUND(G127*AO127,2)</f>
        <v>0</v>
      </c>
      <c r="K127" s="97">
        <f>ROUND(G127*AP127,2)</f>
        <v>0</v>
      </c>
      <c r="L127" s="97">
        <f>ROUND(G127*H127,2)</f>
        <v>0</v>
      </c>
      <c r="M127" s="97">
        <f>L127*(1+BW127/100)</f>
        <v>0</v>
      </c>
      <c r="N127" s="97">
        <v>2</v>
      </c>
      <c r="O127" s="96">
        <f>G127*N127</f>
        <v>12</v>
      </c>
      <c r="P127" s="99" t="s">
        <v>156</v>
      </c>
      <c r="Z127" s="55">
        <f>ROUND(IF(AQ127="5",BJ127,0),2)</f>
        <v>0</v>
      </c>
      <c r="AB127" s="55">
        <f>ROUND(IF(AQ127="1",BH127,0),2)</f>
        <v>0</v>
      </c>
      <c r="AC127" s="55">
        <f>ROUND(IF(AQ127="1",BI127,0),2)</f>
        <v>0</v>
      </c>
      <c r="AD127" s="55">
        <f>ROUND(IF(AQ127="7",BH127,0),2)</f>
        <v>0</v>
      </c>
      <c r="AE127" s="55">
        <f>ROUND(IF(AQ127="7",BI127,0),2)</f>
        <v>0</v>
      </c>
      <c r="AF127" s="55">
        <f>ROUND(IF(AQ127="2",BH127,0),2)</f>
        <v>0</v>
      </c>
      <c r="AG127" s="55">
        <f>ROUND(IF(AQ127="2",BI127,0),2)</f>
        <v>0</v>
      </c>
      <c r="AH127" s="55">
        <f>ROUND(IF(AQ127="0",BJ127,0),2)</f>
        <v>0</v>
      </c>
      <c r="AI127" s="75" t="s">
        <v>106</v>
      </c>
      <c r="AJ127" s="55">
        <f>IF(AN127=0,L127,0)</f>
        <v>0</v>
      </c>
      <c r="AK127" s="55">
        <f>IF(AN127=12,L127,0)</f>
        <v>0</v>
      </c>
      <c r="AL127" s="55">
        <f>IF(AN127=21,L127,0)</f>
        <v>0</v>
      </c>
      <c r="AN127" s="55">
        <v>21</v>
      </c>
      <c r="AO127" s="55">
        <f>H127*0</f>
        <v>0</v>
      </c>
      <c r="AP127" s="55">
        <f>H127*(1-0)</f>
        <v>0</v>
      </c>
      <c r="AQ127" s="54" t="s">
        <v>152</v>
      </c>
      <c r="AV127" s="55">
        <f>ROUND(AW127+AX127,2)</f>
        <v>0</v>
      </c>
      <c r="AW127" s="55">
        <f>ROUND(G127*AO127,2)</f>
        <v>0</v>
      </c>
      <c r="AX127" s="55">
        <f>ROUND(G127*AP127,2)</f>
        <v>0</v>
      </c>
      <c r="AY127" s="54" t="s">
        <v>329</v>
      </c>
      <c r="AZ127" s="54" t="s">
        <v>491</v>
      </c>
      <c r="BA127" s="75" t="s">
        <v>473</v>
      </c>
      <c r="BC127" s="55">
        <f>AW127+AX127</f>
        <v>0</v>
      </c>
      <c r="BD127" s="55">
        <f>H127/(100-BE127)*100</f>
        <v>0</v>
      </c>
      <c r="BE127" s="55">
        <v>0</v>
      </c>
      <c r="BF127" s="55">
        <f>O127</f>
        <v>12</v>
      </c>
      <c r="BH127" s="55">
        <f>G127*AO127</f>
        <v>0</v>
      </c>
      <c r="BI127" s="55">
        <f>G127*AP127</f>
        <v>0</v>
      </c>
      <c r="BJ127" s="55">
        <f>G127*H127</f>
        <v>0</v>
      </c>
      <c r="BK127" s="54" t="s">
        <v>161</v>
      </c>
      <c r="BL127" s="55">
        <v>96</v>
      </c>
      <c r="BW127" s="55">
        <f>I127</f>
        <v>21</v>
      </c>
      <c r="BX127" s="16" t="s">
        <v>372</v>
      </c>
    </row>
    <row r="128" spans="1:76" ht="15" customHeight="1" x14ac:dyDescent="0.3">
      <c r="A128" s="88"/>
      <c r="B128" s="89" t="s">
        <v>106</v>
      </c>
      <c r="C128" s="89" t="s">
        <v>376</v>
      </c>
      <c r="D128" s="198" t="s">
        <v>377</v>
      </c>
      <c r="E128" s="198"/>
      <c r="F128" s="88" t="s">
        <v>96</v>
      </c>
      <c r="G128" s="90" t="s">
        <v>96</v>
      </c>
      <c r="H128" s="88"/>
      <c r="I128" s="88" t="s">
        <v>96</v>
      </c>
      <c r="J128" s="91">
        <f>SUM(J129)</f>
        <v>0</v>
      </c>
      <c r="K128" s="91">
        <f>SUM(K129)</f>
        <v>0</v>
      </c>
      <c r="L128" s="91">
        <f>SUM(L129)</f>
        <v>0</v>
      </c>
      <c r="M128" s="91">
        <f>SUM(M129)</f>
        <v>0</v>
      </c>
      <c r="N128" s="92"/>
      <c r="O128" s="93">
        <f>SUM(O129)</f>
        <v>0.37</v>
      </c>
      <c r="P128" s="92"/>
      <c r="AI128" s="75" t="s">
        <v>106</v>
      </c>
      <c r="AS128" s="68">
        <f>SUM(AJ129)</f>
        <v>0</v>
      </c>
      <c r="AT128" s="68">
        <f>SUM(AK129)</f>
        <v>0</v>
      </c>
      <c r="AU128" s="68">
        <f>SUM(AL129)</f>
        <v>0</v>
      </c>
    </row>
    <row r="129" spans="1:76" ht="15" customHeight="1" x14ac:dyDescent="0.3">
      <c r="A129" s="94" t="s">
        <v>493</v>
      </c>
      <c r="B129" s="94" t="s">
        <v>106</v>
      </c>
      <c r="C129" s="94" t="s">
        <v>379</v>
      </c>
      <c r="D129" s="199" t="s">
        <v>494</v>
      </c>
      <c r="E129" s="199"/>
      <c r="F129" s="94" t="s">
        <v>176</v>
      </c>
      <c r="G129" s="96">
        <v>10</v>
      </c>
      <c r="H129" s="97"/>
      <c r="I129" s="98">
        <v>21</v>
      </c>
      <c r="J129" s="97">
        <f>ROUND(G129*AO129,2)</f>
        <v>0</v>
      </c>
      <c r="K129" s="97">
        <f>ROUND(G129*AP129,2)</f>
        <v>0</v>
      </c>
      <c r="L129" s="97">
        <f>ROUND(G129*H129,2)</f>
        <v>0</v>
      </c>
      <c r="M129" s="97">
        <f>L129*(1+BW129/100)</f>
        <v>0</v>
      </c>
      <c r="N129" s="97">
        <v>3.6999999999999998E-2</v>
      </c>
      <c r="O129" s="96">
        <f>G129*N129</f>
        <v>0.37</v>
      </c>
      <c r="P129" s="99" t="s">
        <v>156</v>
      </c>
      <c r="Z129" s="55">
        <f>ROUND(IF(AQ129="5",BJ129,0),2)</f>
        <v>0</v>
      </c>
      <c r="AB129" s="55">
        <f>ROUND(IF(AQ129="1",BH129,0),2)</f>
        <v>0</v>
      </c>
      <c r="AC129" s="55">
        <f>ROUND(IF(AQ129="1",BI129,0),2)</f>
        <v>0</v>
      </c>
      <c r="AD129" s="55">
        <f>ROUND(IF(AQ129="7",BH129,0),2)</f>
        <v>0</v>
      </c>
      <c r="AE129" s="55">
        <f>ROUND(IF(AQ129="7",BI129,0),2)</f>
        <v>0</v>
      </c>
      <c r="AF129" s="55">
        <f>ROUND(IF(AQ129="2",BH129,0),2)</f>
        <v>0</v>
      </c>
      <c r="AG129" s="55">
        <f>ROUND(IF(AQ129="2",BI129,0),2)</f>
        <v>0</v>
      </c>
      <c r="AH129" s="55">
        <f>ROUND(IF(AQ129="0",BJ129,0),2)</f>
        <v>0</v>
      </c>
      <c r="AI129" s="75" t="s">
        <v>106</v>
      </c>
      <c r="AJ129" s="55">
        <f>IF(AN129=0,L129,0)</f>
        <v>0</v>
      </c>
      <c r="AK129" s="55">
        <f>IF(AN129=12,L129,0)</f>
        <v>0</v>
      </c>
      <c r="AL129" s="55">
        <f>IF(AN129=21,L129,0)</f>
        <v>0</v>
      </c>
      <c r="AN129" s="55">
        <v>21</v>
      </c>
      <c r="AO129" s="55">
        <f>H129*0</f>
        <v>0</v>
      </c>
      <c r="AP129" s="55">
        <f>H129*(1-0)</f>
        <v>0</v>
      </c>
      <c r="AQ129" s="54" t="s">
        <v>152</v>
      </c>
      <c r="AV129" s="55">
        <f>ROUND(AW129+AX129,2)</f>
        <v>0</v>
      </c>
      <c r="AW129" s="55">
        <f>ROUND(G129*AO129,2)</f>
        <v>0</v>
      </c>
      <c r="AX129" s="55">
        <f>ROUND(G129*AP129,2)</f>
        <v>0</v>
      </c>
      <c r="AY129" s="54" t="s">
        <v>381</v>
      </c>
      <c r="AZ129" s="54" t="s">
        <v>491</v>
      </c>
      <c r="BA129" s="75" t="s">
        <v>473</v>
      </c>
      <c r="BC129" s="55">
        <f>AW129+AX129</f>
        <v>0</v>
      </c>
      <c r="BD129" s="55">
        <f>H129/(100-BE129)*100</f>
        <v>0</v>
      </c>
      <c r="BE129" s="55">
        <v>0</v>
      </c>
      <c r="BF129" s="55">
        <f>O129</f>
        <v>0.37</v>
      </c>
      <c r="BH129" s="55">
        <f>G129*AO129</f>
        <v>0</v>
      </c>
      <c r="BI129" s="55">
        <f>G129*AP129</f>
        <v>0</v>
      </c>
      <c r="BJ129" s="55">
        <f>G129*H129</f>
        <v>0</v>
      </c>
      <c r="BK129" s="54" t="s">
        <v>161</v>
      </c>
      <c r="BL129" s="55">
        <v>97</v>
      </c>
      <c r="BW129" s="55">
        <f>I129</f>
        <v>21</v>
      </c>
      <c r="BX129" s="16" t="s">
        <v>494</v>
      </c>
    </row>
    <row r="130" spans="1:76" ht="15" customHeight="1" x14ac:dyDescent="0.3">
      <c r="A130" s="88"/>
      <c r="B130" s="89" t="s">
        <v>106</v>
      </c>
      <c r="C130" s="89" t="s">
        <v>398</v>
      </c>
      <c r="D130" s="198" t="s">
        <v>399</v>
      </c>
      <c r="E130" s="198"/>
      <c r="F130" s="88" t="s">
        <v>96</v>
      </c>
      <c r="G130" s="90" t="s">
        <v>96</v>
      </c>
      <c r="H130" s="88"/>
      <c r="I130" s="88" t="s">
        <v>96</v>
      </c>
      <c r="J130" s="91">
        <f>SUM(J131:J133)</f>
        <v>0</v>
      </c>
      <c r="K130" s="91">
        <f>SUM(K131:K133)</f>
        <v>0</v>
      </c>
      <c r="L130" s="91">
        <f>SUM(L131:L133)</f>
        <v>0</v>
      </c>
      <c r="M130" s="91">
        <f>SUM(M131:M133)</f>
        <v>0</v>
      </c>
      <c r="N130" s="92"/>
      <c r="O130" s="93">
        <f>SUM(O131:O133)</f>
        <v>0</v>
      </c>
      <c r="P130" s="92"/>
      <c r="AI130" s="75" t="s">
        <v>106</v>
      </c>
      <c r="AS130" s="68">
        <f>SUM(AJ131:AJ133)</f>
        <v>0</v>
      </c>
      <c r="AT130" s="68">
        <f>SUM(AK131:AK133)</f>
        <v>0</v>
      </c>
      <c r="AU130" s="68">
        <f>SUM(AL131:AL133)</f>
        <v>0</v>
      </c>
    </row>
    <row r="131" spans="1:76" ht="15" customHeight="1" x14ac:dyDescent="0.3">
      <c r="A131" s="94" t="s">
        <v>305</v>
      </c>
      <c r="B131" s="94" t="s">
        <v>106</v>
      </c>
      <c r="C131" s="94" t="s">
        <v>453</v>
      </c>
      <c r="D131" s="199" t="s">
        <v>454</v>
      </c>
      <c r="E131" s="199"/>
      <c r="F131" s="94" t="s">
        <v>323</v>
      </c>
      <c r="G131" s="96">
        <v>98.585999999999999</v>
      </c>
      <c r="H131" s="97"/>
      <c r="I131" s="98">
        <v>21</v>
      </c>
      <c r="J131" s="97">
        <f>ROUND(G131*AO131,2)</f>
        <v>0</v>
      </c>
      <c r="K131" s="97">
        <f>ROUND(G131*AP131,2)</f>
        <v>0</v>
      </c>
      <c r="L131" s="97">
        <f>ROUND(G131*H131,2)</f>
        <v>0</v>
      </c>
      <c r="M131" s="97">
        <f>L131*(1+BW131/100)</f>
        <v>0</v>
      </c>
      <c r="N131" s="97">
        <v>0</v>
      </c>
      <c r="O131" s="96">
        <f>G131*N131</f>
        <v>0</v>
      </c>
      <c r="P131" s="99" t="s">
        <v>156</v>
      </c>
      <c r="Z131" s="55">
        <f>ROUND(IF(AQ131="5",BJ131,0),2)</f>
        <v>0</v>
      </c>
      <c r="AB131" s="55">
        <f>ROUND(IF(AQ131="1",BH131,0),2)</f>
        <v>0</v>
      </c>
      <c r="AC131" s="55">
        <f>ROUND(IF(AQ131="1",BI131,0),2)</f>
        <v>0</v>
      </c>
      <c r="AD131" s="55">
        <f>ROUND(IF(AQ131="7",BH131,0),2)</f>
        <v>0</v>
      </c>
      <c r="AE131" s="55">
        <f>ROUND(IF(AQ131="7",BI131,0),2)</f>
        <v>0</v>
      </c>
      <c r="AF131" s="55">
        <f>ROUND(IF(AQ131="2",BH131,0),2)</f>
        <v>0</v>
      </c>
      <c r="AG131" s="55">
        <f>ROUND(IF(AQ131="2",BI131,0),2)</f>
        <v>0</v>
      </c>
      <c r="AH131" s="55">
        <f>ROUND(IF(AQ131="0",BJ131,0),2)</f>
        <v>0</v>
      </c>
      <c r="AI131" s="75" t="s">
        <v>106</v>
      </c>
      <c r="AJ131" s="55">
        <f>IF(AN131=0,L131,0)</f>
        <v>0</v>
      </c>
      <c r="AK131" s="55">
        <f>IF(AN131=12,L131,0)</f>
        <v>0</v>
      </c>
      <c r="AL131" s="55">
        <f>IF(AN131=21,L131,0)</f>
        <v>0</v>
      </c>
      <c r="AN131" s="55">
        <v>21</v>
      </c>
      <c r="AO131" s="55">
        <f>H131*0</f>
        <v>0</v>
      </c>
      <c r="AP131" s="55">
        <f>H131*(1-0)</f>
        <v>0</v>
      </c>
      <c r="AQ131" s="54" t="s">
        <v>179</v>
      </c>
      <c r="AV131" s="55">
        <f>ROUND(AW131+AX131,2)</f>
        <v>0</v>
      </c>
      <c r="AW131" s="55">
        <f>ROUND(G131*AO131,2)</f>
        <v>0</v>
      </c>
      <c r="AX131" s="55">
        <f>ROUND(G131*AP131,2)</f>
        <v>0</v>
      </c>
      <c r="AY131" s="54" t="s">
        <v>403</v>
      </c>
      <c r="AZ131" s="54" t="s">
        <v>491</v>
      </c>
      <c r="BA131" s="75" t="s">
        <v>473</v>
      </c>
      <c r="BC131" s="55">
        <f>AW131+AX131</f>
        <v>0</v>
      </c>
      <c r="BD131" s="55">
        <f>H131/(100-BE131)*100</f>
        <v>0</v>
      </c>
      <c r="BE131" s="55">
        <v>0</v>
      </c>
      <c r="BF131" s="55">
        <f>O131</f>
        <v>0</v>
      </c>
      <c r="BH131" s="55">
        <f>G131*AO131</f>
        <v>0</v>
      </c>
      <c r="BI131" s="55">
        <f>G131*AP131</f>
        <v>0</v>
      </c>
      <c r="BJ131" s="55">
        <f>G131*H131</f>
        <v>0</v>
      </c>
      <c r="BK131" s="54" t="s">
        <v>161</v>
      </c>
      <c r="BL131" s="55"/>
      <c r="BW131" s="55">
        <f>I131</f>
        <v>21</v>
      </c>
      <c r="BX131" s="16" t="s">
        <v>454</v>
      </c>
    </row>
    <row r="132" spans="1:76" ht="15" customHeight="1" x14ac:dyDescent="0.3">
      <c r="A132" s="94" t="s">
        <v>495</v>
      </c>
      <c r="B132" s="94" t="s">
        <v>106</v>
      </c>
      <c r="C132" s="94" t="s">
        <v>456</v>
      </c>
      <c r="D132" s="199" t="s">
        <v>457</v>
      </c>
      <c r="E132" s="199"/>
      <c r="F132" s="94" t="s">
        <v>323</v>
      </c>
      <c r="G132" s="96">
        <v>788.68799999999999</v>
      </c>
      <c r="H132" s="97"/>
      <c r="I132" s="98">
        <v>21</v>
      </c>
      <c r="J132" s="97">
        <f>ROUND(G132*AO132,2)</f>
        <v>0</v>
      </c>
      <c r="K132" s="97">
        <f>ROUND(G132*AP132,2)</f>
        <v>0</v>
      </c>
      <c r="L132" s="97">
        <f>ROUND(G132*H132,2)</f>
        <v>0</v>
      </c>
      <c r="M132" s="97">
        <f>L132*(1+BW132/100)</f>
        <v>0</v>
      </c>
      <c r="N132" s="97">
        <v>0</v>
      </c>
      <c r="O132" s="96">
        <f>G132*N132</f>
        <v>0</v>
      </c>
      <c r="P132" s="99" t="s">
        <v>156</v>
      </c>
      <c r="Z132" s="55">
        <f>ROUND(IF(AQ132="5",BJ132,0),2)</f>
        <v>0</v>
      </c>
      <c r="AB132" s="55">
        <f>ROUND(IF(AQ132="1",BH132,0),2)</f>
        <v>0</v>
      </c>
      <c r="AC132" s="55">
        <f>ROUND(IF(AQ132="1",BI132,0),2)</f>
        <v>0</v>
      </c>
      <c r="AD132" s="55">
        <f>ROUND(IF(AQ132="7",BH132,0),2)</f>
        <v>0</v>
      </c>
      <c r="AE132" s="55">
        <f>ROUND(IF(AQ132="7",BI132,0),2)</f>
        <v>0</v>
      </c>
      <c r="AF132" s="55">
        <f>ROUND(IF(AQ132="2",BH132,0),2)</f>
        <v>0</v>
      </c>
      <c r="AG132" s="55">
        <f>ROUND(IF(AQ132="2",BI132,0),2)</f>
        <v>0</v>
      </c>
      <c r="AH132" s="55">
        <f>ROUND(IF(AQ132="0",BJ132,0),2)</f>
        <v>0</v>
      </c>
      <c r="AI132" s="75" t="s">
        <v>106</v>
      </c>
      <c r="AJ132" s="55">
        <f>IF(AN132=0,L132,0)</f>
        <v>0</v>
      </c>
      <c r="AK132" s="55">
        <f>IF(AN132=12,L132,0)</f>
        <v>0</v>
      </c>
      <c r="AL132" s="55">
        <f>IF(AN132=21,L132,0)</f>
        <v>0</v>
      </c>
      <c r="AN132" s="55">
        <v>21</v>
      </c>
      <c r="AO132" s="55">
        <f>H132*0</f>
        <v>0</v>
      </c>
      <c r="AP132" s="55">
        <f>H132*(1-0)</f>
        <v>0</v>
      </c>
      <c r="AQ132" s="54" t="s">
        <v>179</v>
      </c>
      <c r="AV132" s="55">
        <f>ROUND(AW132+AX132,2)</f>
        <v>0</v>
      </c>
      <c r="AW132" s="55">
        <f>ROUND(G132*AO132,2)</f>
        <v>0</v>
      </c>
      <c r="AX132" s="55">
        <f>ROUND(G132*AP132,2)</f>
        <v>0</v>
      </c>
      <c r="AY132" s="54" t="s">
        <v>403</v>
      </c>
      <c r="AZ132" s="54" t="s">
        <v>491</v>
      </c>
      <c r="BA132" s="75" t="s">
        <v>473</v>
      </c>
      <c r="BC132" s="55">
        <f>AW132+AX132</f>
        <v>0</v>
      </c>
      <c r="BD132" s="55">
        <f>H132/(100-BE132)*100</f>
        <v>0</v>
      </c>
      <c r="BE132" s="55">
        <v>0</v>
      </c>
      <c r="BF132" s="55">
        <f>O132</f>
        <v>0</v>
      </c>
      <c r="BH132" s="55">
        <f>G132*AO132</f>
        <v>0</v>
      </c>
      <c r="BI132" s="55">
        <f>G132*AP132</f>
        <v>0</v>
      </c>
      <c r="BJ132" s="55">
        <f>G132*H132</f>
        <v>0</v>
      </c>
      <c r="BK132" s="54" t="s">
        <v>161</v>
      </c>
      <c r="BL132" s="55"/>
      <c r="BW132" s="55">
        <f>I132</f>
        <v>21</v>
      </c>
      <c r="BX132" s="16" t="s">
        <v>457</v>
      </c>
    </row>
    <row r="133" spans="1:76" ht="23.85" customHeight="1" x14ac:dyDescent="0.3">
      <c r="A133" s="94" t="s">
        <v>324</v>
      </c>
      <c r="B133" s="94" t="s">
        <v>106</v>
      </c>
      <c r="C133" s="94" t="s">
        <v>405</v>
      </c>
      <c r="D133" s="199" t="s">
        <v>406</v>
      </c>
      <c r="E133" s="199"/>
      <c r="F133" s="94" t="s">
        <v>323</v>
      </c>
      <c r="G133" s="96">
        <v>98.585999999999999</v>
      </c>
      <c r="H133" s="97"/>
      <c r="I133" s="98">
        <v>21</v>
      </c>
      <c r="J133" s="97">
        <f>ROUND(G133*AO133,2)</f>
        <v>0</v>
      </c>
      <c r="K133" s="97">
        <f>ROUND(G133*AP133,2)</f>
        <v>0</v>
      </c>
      <c r="L133" s="97">
        <f>ROUND(G133*H133,2)</f>
        <v>0</v>
      </c>
      <c r="M133" s="97">
        <f>L133*(1+BW133/100)</f>
        <v>0</v>
      </c>
      <c r="N133" s="97">
        <v>0</v>
      </c>
      <c r="O133" s="96">
        <f>G133*N133</f>
        <v>0</v>
      </c>
      <c r="P133" s="99" t="s">
        <v>156</v>
      </c>
      <c r="Z133" s="55">
        <f>ROUND(IF(AQ133="5",BJ133,0),2)</f>
        <v>0</v>
      </c>
      <c r="AB133" s="55">
        <f>ROUND(IF(AQ133="1",BH133,0),2)</f>
        <v>0</v>
      </c>
      <c r="AC133" s="55">
        <f>ROUND(IF(AQ133="1",BI133,0),2)</f>
        <v>0</v>
      </c>
      <c r="AD133" s="55">
        <f>ROUND(IF(AQ133="7",BH133,0),2)</f>
        <v>0</v>
      </c>
      <c r="AE133" s="55">
        <f>ROUND(IF(AQ133="7",BI133,0),2)</f>
        <v>0</v>
      </c>
      <c r="AF133" s="55">
        <f>ROUND(IF(AQ133="2",BH133,0),2)</f>
        <v>0</v>
      </c>
      <c r="AG133" s="55">
        <f>ROUND(IF(AQ133="2",BI133,0),2)</f>
        <v>0</v>
      </c>
      <c r="AH133" s="55">
        <f>ROUND(IF(AQ133="0",BJ133,0),2)</f>
        <v>0</v>
      </c>
      <c r="AI133" s="75" t="s">
        <v>106</v>
      </c>
      <c r="AJ133" s="55">
        <f>IF(AN133=0,L133,0)</f>
        <v>0</v>
      </c>
      <c r="AK133" s="55">
        <f>IF(AN133=12,L133,0)</f>
        <v>0</v>
      </c>
      <c r="AL133" s="55">
        <f>IF(AN133=21,L133,0)</f>
        <v>0</v>
      </c>
      <c r="AN133" s="55">
        <v>21</v>
      </c>
      <c r="AO133" s="55">
        <f>H133*0</f>
        <v>0</v>
      </c>
      <c r="AP133" s="55">
        <f>H133*(1-0)</f>
        <v>0</v>
      </c>
      <c r="AQ133" s="54" t="s">
        <v>179</v>
      </c>
      <c r="AV133" s="55">
        <f>ROUND(AW133+AX133,2)</f>
        <v>0</v>
      </c>
      <c r="AW133" s="55">
        <f>ROUND(G133*AO133,2)</f>
        <v>0</v>
      </c>
      <c r="AX133" s="55">
        <f>ROUND(G133*AP133,2)</f>
        <v>0</v>
      </c>
      <c r="AY133" s="54" t="s">
        <v>403</v>
      </c>
      <c r="AZ133" s="54" t="s">
        <v>491</v>
      </c>
      <c r="BA133" s="75" t="s">
        <v>473</v>
      </c>
      <c r="BC133" s="55">
        <f>AW133+AX133</f>
        <v>0</v>
      </c>
      <c r="BD133" s="55">
        <f>H133/(100-BE133)*100</f>
        <v>0</v>
      </c>
      <c r="BE133" s="55">
        <v>0</v>
      </c>
      <c r="BF133" s="55">
        <f>O133</f>
        <v>0</v>
      </c>
      <c r="BH133" s="55">
        <f>G133*AO133</f>
        <v>0</v>
      </c>
      <c r="BI133" s="55">
        <f>G133*AP133</f>
        <v>0</v>
      </c>
      <c r="BJ133" s="55">
        <f>G133*H133</f>
        <v>0</v>
      </c>
      <c r="BK133" s="54" t="s">
        <v>161</v>
      </c>
      <c r="BL133" s="55"/>
      <c r="BW133" s="55">
        <f>I133</f>
        <v>21</v>
      </c>
      <c r="BX133" s="16" t="s">
        <v>406</v>
      </c>
    </row>
    <row r="134" spans="1:76" ht="31.2" customHeight="1" x14ac:dyDescent="0.3">
      <c r="A134" s="58"/>
      <c r="B134" s="114" t="s">
        <v>108</v>
      </c>
      <c r="C134" s="114"/>
      <c r="D134" s="202" t="s">
        <v>109</v>
      </c>
      <c r="E134" s="202"/>
      <c r="F134" s="58" t="s">
        <v>96</v>
      </c>
      <c r="G134" s="115" t="s">
        <v>96</v>
      </c>
      <c r="H134" s="58"/>
      <c r="I134" s="58" t="s">
        <v>96</v>
      </c>
      <c r="J134" s="116">
        <f>J135+J140+J142+J149+J152+J156+J158+J162+J165</f>
        <v>0</v>
      </c>
      <c r="K134" s="116">
        <f>K135+K140+K142+K149+K152+K156+K158+K162+K165</f>
        <v>0</v>
      </c>
      <c r="L134" s="116">
        <f>L135+L140+L142+L149+L152+L156+L158+L162+L165</f>
        <v>0</v>
      </c>
      <c r="M134" s="116">
        <f>M135+M140+M142+M149+M152+M156+M158+M162+M165</f>
        <v>0</v>
      </c>
      <c r="N134" s="117"/>
      <c r="O134" s="118">
        <f>O135+O140+O142+O149+O152+O156+O158+O162+O165</f>
        <v>472.57939607999998</v>
      </c>
      <c r="P134" s="117"/>
    </row>
    <row r="135" spans="1:76" ht="15" customHeight="1" x14ac:dyDescent="0.3">
      <c r="A135" s="88"/>
      <c r="B135" s="89" t="s">
        <v>108</v>
      </c>
      <c r="C135" s="89" t="s">
        <v>203</v>
      </c>
      <c r="D135" s="198" t="s">
        <v>467</v>
      </c>
      <c r="E135" s="198"/>
      <c r="F135" s="88" t="s">
        <v>96</v>
      </c>
      <c r="G135" s="90" t="s">
        <v>96</v>
      </c>
      <c r="H135" s="88"/>
      <c r="I135" s="88" t="s">
        <v>96</v>
      </c>
      <c r="J135" s="91">
        <f>SUM(J136:J139)</f>
        <v>0</v>
      </c>
      <c r="K135" s="91">
        <f>SUM(K136:K139)</f>
        <v>0</v>
      </c>
      <c r="L135" s="91">
        <f>SUM(L136:L139)</f>
        <v>0</v>
      </c>
      <c r="M135" s="91">
        <f>SUM(M136:M139)</f>
        <v>0</v>
      </c>
      <c r="N135" s="92"/>
      <c r="O135" s="93">
        <f>SUM(O136:O139)</f>
        <v>0</v>
      </c>
      <c r="P135" s="92"/>
      <c r="AI135" s="75" t="s">
        <v>108</v>
      </c>
      <c r="AS135" s="68">
        <f>SUM(AJ136:AJ139)</f>
        <v>0</v>
      </c>
      <c r="AT135" s="68">
        <f>SUM(AK136:AK139)</f>
        <v>0</v>
      </c>
      <c r="AU135" s="68">
        <f>SUM(AL136:AL139)</f>
        <v>0</v>
      </c>
    </row>
    <row r="136" spans="1:76" ht="15" customHeight="1" x14ac:dyDescent="0.3">
      <c r="A136" s="94" t="s">
        <v>376</v>
      </c>
      <c r="B136" s="94" t="s">
        <v>108</v>
      </c>
      <c r="C136" s="94" t="s">
        <v>496</v>
      </c>
      <c r="D136" s="199" t="s">
        <v>497</v>
      </c>
      <c r="E136" s="199"/>
      <c r="F136" s="94" t="s">
        <v>155</v>
      </c>
      <c r="G136" s="96">
        <v>108.72499999999999</v>
      </c>
      <c r="H136" s="97"/>
      <c r="I136" s="98">
        <v>21</v>
      </c>
      <c r="J136" s="97">
        <f>ROUND(G136*AO136,2)</f>
        <v>0</v>
      </c>
      <c r="K136" s="97">
        <f>ROUND(G136*AP136,2)</f>
        <v>0</v>
      </c>
      <c r="L136" s="97">
        <f>ROUND(G136*H136,2)</f>
        <v>0</v>
      </c>
      <c r="M136" s="97">
        <f>L136*(1+BW136/100)</f>
        <v>0</v>
      </c>
      <c r="N136" s="97">
        <v>0</v>
      </c>
      <c r="O136" s="96">
        <f>G136*N136</f>
        <v>0</v>
      </c>
      <c r="P136" s="99" t="s">
        <v>156</v>
      </c>
      <c r="Z136" s="55">
        <f>ROUND(IF(AQ136="5",BJ136,0),2)</f>
        <v>0</v>
      </c>
      <c r="AB136" s="55">
        <f>ROUND(IF(AQ136="1",BH136,0),2)</f>
        <v>0</v>
      </c>
      <c r="AC136" s="55">
        <f>ROUND(IF(AQ136="1",BI136,0),2)</f>
        <v>0</v>
      </c>
      <c r="AD136" s="55">
        <f>ROUND(IF(AQ136="7",BH136,0),2)</f>
        <v>0</v>
      </c>
      <c r="AE136" s="55">
        <f>ROUND(IF(AQ136="7",BI136,0),2)</f>
        <v>0</v>
      </c>
      <c r="AF136" s="55">
        <f>ROUND(IF(AQ136="2",BH136,0),2)</f>
        <v>0</v>
      </c>
      <c r="AG136" s="55">
        <f>ROUND(IF(AQ136="2",BI136,0),2)</f>
        <v>0</v>
      </c>
      <c r="AH136" s="55">
        <f>ROUND(IF(AQ136="0",BJ136,0),2)</f>
        <v>0</v>
      </c>
      <c r="AI136" s="75" t="s">
        <v>108</v>
      </c>
      <c r="AJ136" s="55">
        <f>IF(AN136=0,L136,0)</f>
        <v>0</v>
      </c>
      <c r="AK136" s="55">
        <f>IF(AN136=12,L136,0)</f>
        <v>0</v>
      </c>
      <c r="AL136" s="55">
        <f>IF(AN136=21,L136,0)</f>
        <v>0</v>
      </c>
      <c r="AN136" s="55">
        <v>21</v>
      </c>
      <c r="AO136" s="55">
        <f>H136*0</f>
        <v>0</v>
      </c>
      <c r="AP136" s="55">
        <f>H136*(1-0)</f>
        <v>0</v>
      </c>
      <c r="AQ136" s="54" t="s">
        <v>152</v>
      </c>
      <c r="AV136" s="55">
        <f>ROUND(AW136+AX136,2)</f>
        <v>0</v>
      </c>
      <c r="AW136" s="55">
        <f>ROUND(G136*AO136,2)</f>
        <v>0</v>
      </c>
      <c r="AX136" s="55">
        <f>ROUND(G136*AP136,2)</f>
        <v>0</v>
      </c>
      <c r="AY136" s="54" t="s">
        <v>471</v>
      </c>
      <c r="AZ136" s="54" t="s">
        <v>498</v>
      </c>
      <c r="BA136" s="75" t="s">
        <v>499</v>
      </c>
      <c r="BC136" s="55">
        <f>AW136+AX136</f>
        <v>0</v>
      </c>
      <c r="BD136" s="55">
        <f>H136/(100-BE136)*100</f>
        <v>0</v>
      </c>
      <c r="BE136" s="55">
        <v>0</v>
      </c>
      <c r="BF136" s="55">
        <f>O136</f>
        <v>0</v>
      </c>
      <c r="BH136" s="55">
        <f>G136*AO136</f>
        <v>0</v>
      </c>
      <c r="BI136" s="55">
        <f>G136*AP136</f>
        <v>0</v>
      </c>
      <c r="BJ136" s="55">
        <f>G136*H136</f>
        <v>0</v>
      </c>
      <c r="BK136" s="54" t="s">
        <v>161</v>
      </c>
      <c r="BL136" s="55">
        <v>11</v>
      </c>
      <c r="BW136" s="55">
        <f>I136</f>
        <v>21</v>
      </c>
      <c r="BX136" s="16" t="s">
        <v>497</v>
      </c>
    </row>
    <row r="137" spans="1:76" ht="15" customHeight="1" x14ac:dyDescent="0.3">
      <c r="A137" s="94" t="s">
        <v>388</v>
      </c>
      <c r="B137" s="94" t="s">
        <v>108</v>
      </c>
      <c r="C137" s="94" t="s">
        <v>500</v>
      </c>
      <c r="D137" s="199" t="s">
        <v>501</v>
      </c>
      <c r="E137" s="199"/>
      <c r="F137" s="94" t="s">
        <v>212</v>
      </c>
      <c r="G137" s="96">
        <v>2</v>
      </c>
      <c r="H137" s="97"/>
      <c r="I137" s="98">
        <v>21</v>
      </c>
      <c r="J137" s="97">
        <f>ROUND(G137*AO137,2)</f>
        <v>0</v>
      </c>
      <c r="K137" s="97">
        <f>ROUND(G137*AP137,2)</f>
        <v>0</v>
      </c>
      <c r="L137" s="97">
        <f>ROUND(G137*H137,2)</f>
        <v>0</v>
      </c>
      <c r="M137" s="97">
        <f>L137*(1+BW137/100)</f>
        <v>0</v>
      </c>
      <c r="N137" s="97">
        <v>0</v>
      </c>
      <c r="O137" s="96">
        <f>G137*N137</f>
        <v>0</v>
      </c>
      <c r="P137" s="99" t="s">
        <v>156</v>
      </c>
      <c r="Z137" s="55">
        <f>ROUND(IF(AQ137="5",BJ137,0),2)</f>
        <v>0</v>
      </c>
      <c r="AB137" s="55">
        <f>ROUND(IF(AQ137="1",BH137,0),2)</f>
        <v>0</v>
      </c>
      <c r="AC137" s="55">
        <f>ROUND(IF(AQ137="1",BI137,0),2)</f>
        <v>0</v>
      </c>
      <c r="AD137" s="55">
        <f>ROUND(IF(AQ137="7",BH137,0),2)</f>
        <v>0</v>
      </c>
      <c r="AE137" s="55">
        <f>ROUND(IF(AQ137="7",BI137,0),2)</f>
        <v>0</v>
      </c>
      <c r="AF137" s="55">
        <f>ROUND(IF(AQ137="2",BH137,0),2)</f>
        <v>0</v>
      </c>
      <c r="AG137" s="55">
        <f>ROUND(IF(AQ137="2",BI137,0),2)</f>
        <v>0</v>
      </c>
      <c r="AH137" s="55">
        <f>ROUND(IF(AQ137="0",BJ137,0),2)</f>
        <v>0</v>
      </c>
      <c r="AI137" s="75" t="s">
        <v>108</v>
      </c>
      <c r="AJ137" s="55">
        <f>IF(AN137=0,L137,0)</f>
        <v>0</v>
      </c>
      <c r="AK137" s="55">
        <f>IF(AN137=12,L137,0)</f>
        <v>0</v>
      </c>
      <c r="AL137" s="55">
        <f>IF(AN137=21,L137,0)</f>
        <v>0</v>
      </c>
      <c r="AN137" s="55">
        <v>21</v>
      </c>
      <c r="AO137" s="55">
        <f>H137*0</f>
        <v>0</v>
      </c>
      <c r="AP137" s="55">
        <f>H137*(1-0)</f>
        <v>0</v>
      </c>
      <c r="AQ137" s="54" t="s">
        <v>152</v>
      </c>
      <c r="AV137" s="55">
        <f>ROUND(AW137+AX137,2)</f>
        <v>0</v>
      </c>
      <c r="AW137" s="55">
        <f>ROUND(G137*AO137,2)</f>
        <v>0</v>
      </c>
      <c r="AX137" s="55">
        <f>ROUND(G137*AP137,2)</f>
        <v>0</v>
      </c>
      <c r="AY137" s="54" t="s">
        <v>471</v>
      </c>
      <c r="AZ137" s="54" t="s">
        <v>498</v>
      </c>
      <c r="BA137" s="75" t="s">
        <v>499</v>
      </c>
      <c r="BC137" s="55">
        <f>AW137+AX137</f>
        <v>0</v>
      </c>
      <c r="BD137" s="55">
        <f>H137/(100-BE137)*100</f>
        <v>0</v>
      </c>
      <c r="BE137" s="55">
        <v>0</v>
      </c>
      <c r="BF137" s="55">
        <f>O137</f>
        <v>0</v>
      </c>
      <c r="BH137" s="55">
        <f>G137*AO137</f>
        <v>0</v>
      </c>
      <c r="BI137" s="55">
        <f>G137*AP137</f>
        <v>0</v>
      </c>
      <c r="BJ137" s="55">
        <f>G137*H137</f>
        <v>0</v>
      </c>
      <c r="BK137" s="54" t="s">
        <v>161</v>
      </c>
      <c r="BL137" s="55">
        <v>11</v>
      </c>
      <c r="BW137" s="55">
        <f>I137</f>
        <v>21</v>
      </c>
      <c r="BX137" s="16" t="s">
        <v>501</v>
      </c>
    </row>
    <row r="138" spans="1:76" ht="15" customHeight="1" x14ac:dyDescent="0.3">
      <c r="A138" s="94" t="s">
        <v>502</v>
      </c>
      <c r="B138" s="94" t="s">
        <v>108</v>
      </c>
      <c r="C138" s="94" t="s">
        <v>503</v>
      </c>
      <c r="D138" s="199" t="s">
        <v>504</v>
      </c>
      <c r="E138" s="199"/>
      <c r="F138" s="94" t="s">
        <v>212</v>
      </c>
      <c r="G138" s="96">
        <v>2</v>
      </c>
      <c r="H138" s="97"/>
      <c r="I138" s="98">
        <v>21</v>
      </c>
      <c r="J138" s="97">
        <f>ROUND(G138*AO138,2)</f>
        <v>0</v>
      </c>
      <c r="K138" s="97">
        <f>ROUND(G138*AP138,2)</f>
        <v>0</v>
      </c>
      <c r="L138" s="97">
        <f>ROUND(G138*H138,2)</f>
        <v>0</v>
      </c>
      <c r="M138" s="97">
        <f>L138*(1+BW138/100)</f>
        <v>0</v>
      </c>
      <c r="N138" s="97">
        <v>0</v>
      </c>
      <c r="O138" s="96">
        <f>G138*N138</f>
        <v>0</v>
      </c>
      <c r="P138" s="99" t="s">
        <v>156</v>
      </c>
      <c r="Z138" s="55">
        <f>ROUND(IF(AQ138="5",BJ138,0),2)</f>
        <v>0</v>
      </c>
      <c r="AB138" s="55">
        <f>ROUND(IF(AQ138="1",BH138,0),2)</f>
        <v>0</v>
      </c>
      <c r="AC138" s="55">
        <f>ROUND(IF(AQ138="1",BI138,0),2)</f>
        <v>0</v>
      </c>
      <c r="AD138" s="55">
        <f>ROUND(IF(AQ138="7",BH138,0),2)</f>
        <v>0</v>
      </c>
      <c r="AE138" s="55">
        <f>ROUND(IF(AQ138="7",BI138,0),2)</f>
        <v>0</v>
      </c>
      <c r="AF138" s="55">
        <f>ROUND(IF(AQ138="2",BH138,0),2)</f>
        <v>0</v>
      </c>
      <c r="AG138" s="55">
        <f>ROUND(IF(AQ138="2",BI138,0),2)</f>
        <v>0</v>
      </c>
      <c r="AH138" s="55">
        <f>ROUND(IF(AQ138="0",BJ138,0),2)</f>
        <v>0</v>
      </c>
      <c r="AI138" s="75" t="s">
        <v>108</v>
      </c>
      <c r="AJ138" s="55">
        <f>IF(AN138=0,L138,0)</f>
        <v>0</v>
      </c>
      <c r="AK138" s="55">
        <f>IF(AN138=12,L138,0)</f>
        <v>0</v>
      </c>
      <c r="AL138" s="55">
        <f>IF(AN138=21,L138,0)</f>
        <v>0</v>
      </c>
      <c r="AN138" s="55">
        <v>21</v>
      </c>
      <c r="AO138" s="55">
        <f>H138*0</f>
        <v>0</v>
      </c>
      <c r="AP138" s="55">
        <f>H138*(1-0)</f>
        <v>0</v>
      </c>
      <c r="AQ138" s="54" t="s">
        <v>152</v>
      </c>
      <c r="AV138" s="55">
        <f>ROUND(AW138+AX138,2)</f>
        <v>0</v>
      </c>
      <c r="AW138" s="55">
        <f>ROUND(G138*AO138,2)</f>
        <v>0</v>
      </c>
      <c r="AX138" s="55">
        <f>ROUND(G138*AP138,2)</f>
        <v>0</v>
      </c>
      <c r="AY138" s="54" t="s">
        <v>471</v>
      </c>
      <c r="AZ138" s="54" t="s">
        <v>498</v>
      </c>
      <c r="BA138" s="75" t="s">
        <v>499</v>
      </c>
      <c r="BC138" s="55">
        <f>AW138+AX138</f>
        <v>0</v>
      </c>
      <c r="BD138" s="55">
        <f>H138/(100-BE138)*100</f>
        <v>0</v>
      </c>
      <c r="BE138" s="55">
        <v>0</v>
      </c>
      <c r="BF138" s="55">
        <f>O138</f>
        <v>0</v>
      </c>
      <c r="BH138" s="55">
        <f>G138*AO138</f>
        <v>0</v>
      </c>
      <c r="BI138" s="55">
        <f>G138*AP138</f>
        <v>0</v>
      </c>
      <c r="BJ138" s="55">
        <f>G138*H138</f>
        <v>0</v>
      </c>
      <c r="BK138" s="54" t="s">
        <v>161</v>
      </c>
      <c r="BL138" s="55">
        <v>11</v>
      </c>
      <c r="BW138" s="55">
        <f>I138</f>
        <v>21</v>
      </c>
      <c r="BX138" s="16" t="s">
        <v>504</v>
      </c>
    </row>
    <row r="139" spans="1:76" ht="15" customHeight="1" x14ac:dyDescent="0.3">
      <c r="A139" s="94" t="s">
        <v>505</v>
      </c>
      <c r="B139" s="94" t="s">
        <v>108</v>
      </c>
      <c r="C139" s="94" t="s">
        <v>506</v>
      </c>
      <c r="D139" s="199" t="s">
        <v>507</v>
      </c>
      <c r="E139" s="199"/>
      <c r="F139" s="94" t="s">
        <v>366</v>
      </c>
      <c r="G139" s="96">
        <v>1.5</v>
      </c>
      <c r="H139" s="97"/>
      <c r="I139" s="98">
        <v>21</v>
      </c>
      <c r="J139" s="97">
        <f>ROUND(G139*AO139,2)</f>
        <v>0</v>
      </c>
      <c r="K139" s="97">
        <f>ROUND(G139*AP139,2)</f>
        <v>0</v>
      </c>
      <c r="L139" s="97">
        <f>ROUND(G139*H139,2)</f>
        <v>0</v>
      </c>
      <c r="M139" s="97">
        <f>L139*(1+BW139/100)</f>
        <v>0</v>
      </c>
      <c r="N139" s="97">
        <v>0</v>
      </c>
      <c r="O139" s="96">
        <f>G139*N139</f>
        <v>0</v>
      </c>
      <c r="P139" s="99" t="s">
        <v>156</v>
      </c>
      <c r="Z139" s="55">
        <f>ROUND(IF(AQ139="5",BJ139,0),2)</f>
        <v>0</v>
      </c>
      <c r="AB139" s="55">
        <f>ROUND(IF(AQ139="1",BH139,0),2)</f>
        <v>0</v>
      </c>
      <c r="AC139" s="55">
        <f>ROUND(IF(AQ139="1",BI139,0),2)</f>
        <v>0</v>
      </c>
      <c r="AD139" s="55">
        <f>ROUND(IF(AQ139="7",BH139,0),2)</f>
        <v>0</v>
      </c>
      <c r="AE139" s="55">
        <f>ROUND(IF(AQ139="7",BI139,0),2)</f>
        <v>0</v>
      </c>
      <c r="AF139" s="55">
        <f>ROUND(IF(AQ139="2",BH139,0),2)</f>
        <v>0</v>
      </c>
      <c r="AG139" s="55">
        <f>ROUND(IF(AQ139="2",BI139,0),2)</f>
        <v>0</v>
      </c>
      <c r="AH139" s="55">
        <f>ROUND(IF(AQ139="0",BJ139,0),2)</f>
        <v>0</v>
      </c>
      <c r="AI139" s="75" t="s">
        <v>108</v>
      </c>
      <c r="AJ139" s="55">
        <f>IF(AN139=0,L139,0)</f>
        <v>0</v>
      </c>
      <c r="AK139" s="55">
        <f>IF(AN139=12,L139,0)</f>
        <v>0</v>
      </c>
      <c r="AL139" s="55">
        <f>IF(AN139=21,L139,0)</f>
        <v>0</v>
      </c>
      <c r="AN139" s="55">
        <v>21</v>
      </c>
      <c r="AO139" s="55">
        <f>H139*0</f>
        <v>0</v>
      </c>
      <c r="AP139" s="55">
        <f>H139*(1-0)</f>
        <v>0</v>
      </c>
      <c r="AQ139" s="54" t="s">
        <v>152</v>
      </c>
      <c r="AV139" s="55">
        <f>ROUND(AW139+AX139,2)</f>
        <v>0</v>
      </c>
      <c r="AW139" s="55">
        <f>ROUND(G139*AO139,2)</f>
        <v>0</v>
      </c>
      <c r="AX139" s="55">
        <f>ROUND(G139*AP139,2)</f>
        <v>0</v>
      </c>
      <c r="AY139" s="54" t="s">
        <v>471</v>
      </c>
      <c r="AZ139" s="54" t="s">
        <v>498</v>
      </c>
      <c r="BA139" s="75" t="s">
        <v>499</v>
      </c>
      <c r="BC139" s="55">
        <f>AW139+AX139</f>
        <v>0</v>
      </c>
      <c r="BD139" s="55">
        <f>H139/(100-BE139)*100</f>
        <v>0</v>
      </c>
      <c r="BE139" s="55">
        <v>0</v>
      </c>
      <c r="BF139" s="55">
        <f>O139</f>
        <v>0</v>
      </c>
      <c r="BH139" s="55">
        <f>G139*AO139</f>
        <v>0</v>
      </c>
      <c r="BI139" s="55">
        <f>G139*AP139</f>
        <v>0</v>
      </c>
      <c r="BJ139" s="55">
        <f>G139*H139</f>
        <v>0</v>
      </c>
      <c r="BK139" s="54" t="s">
        <v>161</v>
      </c>
      <c r="BL139" s="55">
        <v>11</v>
      </c>
      <c r="BW139" s="55">
        <f>I139</f>
        <v>21</v>
      </c>
      <c r="BX139" s="16" t="s">
        <v>507</v>
      </c>
    </row>
    <row r="140" spans="1:76" ht="15" customHeight="1" x14ac:dyDescent="0.3">
      <c r="A140" s="88"/>
      <c r="B140" s="89" t="s">
        <v>108</v>
      </c>
      <c r="C140" s="89" t="s">
        <v>206</v>
      </c>
      <c r="D140" s="198" t="s">
        <v>508</v>
      </c>
      <c r="E140" s="198"/>
      <c r="F140" s="88" t="s">
        <v>96</v>
      </c>
      <c r="G140" s="90" t="s">
        <v>96</v>
      </c>
      <c r="H140" s="88"/>
      <c r="I140" s="88" t="s">
        <v>96</v>
      </c>
      <c r="J140" s="91">
        <f>SUM(J141)</f>
        <v>0</v>
      </c>
      <c r="K140" s="91">
        <f>SUM(K141)</f>
        <v>0</v>
      </c>
      <c r="L140" s="91">
        <f>SUM(L141)</f>
        <v>0</v>
      </c>
      <c r="M140" s="91">
        <f>SUM(M141)</f>
        <v>0</v>
      </c>
      <c r="N140" s="92"/>
      <c r="O140" s="93">
        <f>SUM(O141)</f>
        <v>0</v>
      </c>
      <c r="P140" s="92"/>
      <c r="AI140" s="75" t="s">
        <v>108</v>
      </c>
      <c r="AS140" s="68">
        <f>SUM(AJ141)</f>
        <v>0</v>
      </c>
      <c r="AT140" s="68">
        <f>SUM(AK141)</f>
        <v>0</v>
      </c>
      <c r="AU140" s="68">
        <f>SUM(AL141)</f>
        <v>0</v>
      </c>
    </row>
    <row r="141" spans="1:76" ht="15" customHeight="1" x14ac:dyDescent="0.3">
      <c r="A141" s="94" t="s">
        <v>509</v>
      </c>
      <c r="B141" s="94" t="s">
        <v>108</v>
      </c>
      <c r="C141" s="94" t="s">
        <v>510</v>
      </c>
      <c r="D141" s="199" t="s">
        <v>511</v>
      </c>
      <c r="E141" s="199"/>
      <c r="F141" s="94" t="s">
        <v>366</v>
      </c>
      <c r="G141" s="96">
        <v>73.59</v>
      </c>
      <c r="H141" s="97"/>
      <c r="I141" s="98">
        <v>21</v>
      </c>
      <c r="J141" s="97">
        <f>ROUND(G141*AO141,2)</f>
        <v>0</v>
      </c>
      <c r="K141" s="97">
        <f>ROUND(G141*AP141,2)</f>
        <v>0</v>
      </c>
      <c r="L141" s="97">
        <f>ROUND(G141*H141,2)</f>
        <v>0</v>
      </c>
      <c r="M141" s="97">
        <f>L141*(1+BW141/100)</f>
        <v>0</v>
      </c>
      <c r="N141" s="97">
        <v>0</v>
      </c>
      <c r="O141" s="96">
        <f>G141*N141</f>
        <v>0</v>
      </c>
      <c r="P141" s="99" t="s">
        <v>156</v>
      </c>
      <c r="Z141" s="55">
        <f>ROUND(IF(AQ141="5",BJ141,0),2)</f>
        <v>0</v>
      </c>
      <c r="AB141" s="55">
        <f>ROUND(IF(AQ141="1",BH141,0),2)</f>
        <v>0</v>
      </c>
      <c r="AC141" s="55">
        <f>ROUND(IF(AQ141="1",BI141,0),2)</f>
        <v>0</v>
      </c>
      <c r="AD141" s="55">
        <f>ROUND(IF(AQ141="7",BH141,0),2)</f>
        <v>0</v>
      </c>
      <c r="AE141" s="55">
        <f>ROUND(IF(AQ141="7",BI141,0),2)</f>
        <v>0</v>
      </c>
      <c r="AF141" s="55">
        <f>ROUND(IF(AQ141="2",BH141,0),2)</f>
        <v>0</v>
      </c>
      <c r="AG141" s="55">
        <f>ROUND(IF(AQ141="2",BI141,0),2)</f>
        <v>0</v>
      </c>
      <c r="AH141" s="55">
        <f>ROUND(IF(AQ141="0",BJ141,0),2)</f>
        <v>0</v>
      </c>
      <c r="AI141" s="75" t="s">
        <v>108</v>
      </c>
      <c r="AJ141" s="55">
        <f>IF(AN141=0,L141,0)</f>
        <v>0</v>
      </c>
      <c r="AK141" s="55">
        <f>IF(AN141=12,L141,0)</f>
        <v>0</v>
      </c>
      <c r="AL141" s="55">
        <f>IF(AN141=21,L141,0)</f>
        <v>0</v>
      </c>
      <c r="AN141" s="55">
        <v>21</v>
      </c>
      <c r="AO141" s="55">
        <f>H141*0</f>
        <v>0</v>
      </c>
      <c r="AP141" s="55">
        <f>H141*(1-0)</f>
        <v>0</v>
      </c>
      <c r="AQ141" s="54" t="s">
        <v>152</v>
      </c>
      <c r="AV141" s="55">
        <f>ROUND(AW141+AX141,2)</f>
        <v>0</v>
      </c>
      <c r="AW141" s="55">
        <f>ROUND(G141*AO141,2)</f>
        <v>0</v>
      </c>
      <c r="AX141" s="55">
        <f>ROUND(G141*AP141,2)</f>
        <v>0</v>
      </c>
      <c r="AY141" s="54" t="s">
        <v>512</v>
      </c>
      <c r="AZ141" s="54" t="s">
        <v>498</v>
      </c>
      <c r="BA141" s="75" t="s">
        <v>499</v>
      </c>
      <c r="BC141" s="55">
        <f>AW141+AX141</f>
        <v>0</v>
      </c>
      <c r="BD141" s="55">
        <f>H141/(100-BE141)*100</f>
        <v>0</v>
      </c>
      <c r="BE141" s="55">
        <v>0</v>
      </c>
      <c r="BF141" s="55">
        <f>O141</f>
        <v>0</v>
      </c>
      <c r="BH141" s="55">
        <f>G141*AO141</f>
        <v>0</v>
      </c>
      <c r="BI141" s="55">
        <f>G141*AP141</f>
        <v>0</v>
      </c>
      <c r="BJ141" s="55">
        <f>G141*H141</f>
        <v>0</v>
      </c>
      <c r="BK141" s="54" t="s">
        <v>161</v>
      </c>
      <c r="BL141" s="55">
        <v>12</v>
      </c>
      <c r="BW141" s="55">
        <f>I141</f>
        <v>21</v>
      </c>
      <c r="BX141" s="16" t="s">
        <v>511</v>
      </c>
    </row>
    <row r="142" spans="1:76" ht="15" customHeight="1" x14ac:dyDescent="0.3">
      <c r="A142" s="88"/>
      <c r="B142" s="89" t="s">
        <v>108</v>
      </c>
      <c r="C142" s="89" t="s">
        <v>223</v>
      </c>
      <c r="D142" s="198" t="s">
        <v>474</v>
      </c>
      <c r="E142" s="198"/>
      <c r="F142" s="88" t="s">
        <v>96</v>
      </c>
      <c r="G142" s="90" t="s">
        <v>96</v>
      </c>
      <c r="H142" s="88"/>
      <c r="I142" s="88" t="s">
        <v>96</v>
      </c>
      <c r="J142" s="91">
        <f>SUM(J143:J148)</f>
        <v>0</v>
      </c>
      <c r="K142" s="91">
        <f>SUM(K143:K148)</f>
        <v>0</v>
      </c>
      <c r="L142" s="91">
        <f>SUM(L143:L148)</f>
        <v>0</v>
      </c>
      <c r="M142" s="91">
        <f>SUM(M143:M148)</f>
        <v>0</v>
      </c>
      <c r="N142" s="92"/>
      <c r="O142" s="93">
        <f>SUM(O143:O148)</f>
        <v>0</v>
      </c>
      <c r="P142" s="92"/>
      <c r="AI142" s="75" t="s">
        <v>108</v>
      </c>
      <c r="AS142" s="68">
        <f>SUM(AJ143:AJ148)</f>
        <v>0</v>
      </c>
      <c r="AT142" s="68">
        <f>SUM(AK143:AK148)</f>
        <v>0</v>
      </c>
      <c r="AU142" s="68">
        <f>SUM(AL143:AL148)</f>
        <v>0</v>
      </c>
    </row>
    <row r="143" spans="1:76" ht="15" customHeight="1" x14ac:dyDescent="0.3">
      <c r="A143" s="94" t="s">
        <v>513</v>
      </c>
      <c r="B143" s="94" t="s">
        <v>108</v>
      </c>
      <c r="C143" s="94" t="s">
        <v>476</v>
      </c>
      <c r="D143" s="199" t="s">
        <v>477</v>
      </c>
      <c r="E143" s="199"/>
      <c r="F143" s="94" t="s">
        <v>366</v>
      </c>
      <c r="G143" s="96">
        <v>73.59</v>
      </c>
      <c r="H143" s="97"/>
      <c r="I143" s="98">
        <v>21</v>
      </c>
      <c r="J143" s="97">
        <f t="shared" ref="J143:J148" si="110">ROUND(G143*AO143,2)</f>
        <v>0</v>
      </c>
      <c r="K143" s="97">
        <f t="shared" ref="K143:K148" si="111">ROUND(G143*AP143,2)</f>
        <v>0</v>
      </c>
      <c r="L143" s="97">
        <f t="shared" ref="L143:L148" si="112">ROUND(G143*H143,2)</f>
        <v>0</v>
      </c>
      <c r="M143" s="97">
        <f t="shared" ref="M143:M148" si="113">L143*(1+BW143/100)</f>
        <v>0</v>
      </c>
      <c r="N143" s="97">
        <v>0</v>
      </c>
      <c r="O143" s="96">
        <f t="shared" ref="O143:O148" si="114">G143*N143</f>
        <v>0</v>
      </c>
      <c r="P143" s="99" t="s">
        <v>156</v>
      </c>
      <c r="Z143" s="55">
        <f t="shared" ref="Z143:Z148" si="115">ROUND(IF(AQ143="5",BJ143,0),2)</f>
        <v>0</v>
      </c>
      <c r="AB143" s="55">
        <f t="shared" ref="AB143:AB148" si="116">ROUND(IF(AQ143="1",BH143,0),2)</f>
        <v>0</v>
      </c>
      <c r="AC143" s="55">
        <f t="shared" ref="AC143:AC148" si="117">ROUND(IF(AQ143="1",BI143,0),2)</f>
        <v>0</v>
      </c>
      <c r="AD143" s="55">
        <f t="shared" ref="AD143:AD148" si="118">ROUND(IF(AQ143="7",BH143,0),2)</f>
        <v>0</v>
      </c>
      <c r="AE143" s="55">
        <f t="shared" ref="AE143:AE148" si="119">ROUND(IF(AQ143="7",BI143,0),2)</f>
        <v>0</v>
      </c>
      <c r="AF143" s="55">
        <f t="shared" ref="AF143:AF148" si="120">ROUND(IF(AQ143="2",BH143,0),2)</f>
        <v>0</v>
      </c>
      <c r="AG143" s="55">
        <f t="shared" ref="AG143:AG148" si="121">ROUND(IF(AQ143="2",BI143,0),2)</f>
        <v>0</v>
      </c>
      <c r="AH143" s="55">
        <f t="shared" ref="AH143:AH148" si="122">ROUND(IF(AQ143="0",BJ143,0),2)</f>
        <v>0</v>
      </c>
      <c r="AI143" s="75" t="s">
        <v>108</v>
      </c>
      <c r="AJ143" s="55">
        <f t="shared" ref="AJ143:AJ148" si="123">IF(AN143=0,L143,0)</f>
        <v>0</v>
      </c>
      <c r="AK143" s="55">
        <f t="shared" ref="AK143:AK148" si="124">IF(AN143=12,L143,0)</f>
        <v>0</v>
      </c>
      <c r="AL143" s="55">
        <f t="shared" ref="AL143:AL148" si="125">IF(AN143=21,L143,0)</f>
        <v>0</v>
      </c>
      <c r="AN143" s="55">
        <v>21</v>
      </c>
      <c r="AO143" s="55">
        <f t="shared" ref="AO143:AO148" si="126">H143*0</f>
        <v>0</v>
      </c>
      <c r="AP143" s="55">
        <f t="shared" ref="AP143:AP148" si="127">H143*(1-0)</f>
        <v>0</v>
      </c>
      <c r="AQ143" s="54" t="s">
        <v>152</v>
      </c>
      <c r="AV143" s="55">
        <f t="shared" ref="AV143:AV148" si="128">ROUND(AW143+AX143,2)</f>
        <v>0</v>
      </c>
      <c r="AW143" s="55">
        <f t="shared" ref="AW143:AW148" si="129">ROUND(G143*AO143,2)</f>
        <v>0</v>
      </c>
      <c r="AX143" s="55">
        <f t="shared" ref="AX143:AX148" si="130">ROUND(G143*AP143,2)</f>
        <v>0</v>
      </c>
      <c r="AY143" s="54" t="s">
        <v>478</v>
      </c>
      <c r="AZ143" s="54" t="s">
        <v>498</v>
      </c>
      <c r="BA143" s="75" t="s">
        <v>499</v>
      </c>
      <c r="BC143" s="55">
        <f t="shared" ref="BC143:BC148" si="131">AW143+AX143</f>
        <v>0</v>
      </c>
      <c r="BD143" s="55">
        <f t="shared" ref="BD143:BD148" si="132">H143/(100-BE143)*100</f>
        <v>0</v>
      </c>
      <c r="BE143" s="55">
        <v>0</v>
      </c>
      <c r="BF143" s="55">
        <f t="shared" ref="BF143:BF148" si="133">O143</f>
        <v>0</v>
      </c>
      <c r="BH143" s="55">
        <f t="shared" ref="BH143:BH148" si="134">G143*AO143</f>
        <v>0</v>
      </c>
      <c r="BI143" s="55">
        <f t="shared" ref="BI143:BI148" si="135">G143*AP143</f>
        <v>0</v>
      </c>
      <c r="BJ143" s="55">
        <f t="shared" ref="BJ143:BJ148" si="136">G143*H143</f>
        <v>0</v>
      </c>
      <c r="BK143" s="54" t="s">
        <v>161</v>
      </c>
      <c r="BL143" s="55">
        <v>16</v>
      </c>
      <c r="BW143" s="55">
        <f t="shared" ref="BW143:BW148" si="137">I143</f>
        <v>21</v>
      </c>
      <c r="BX143" s="16" t="s">
        <v>477</v>
      </c>
    </row>
    <row r="144" spans="1:76" ht="15" customHeight="1" x14ac:dyDescent="0.3">
      <c r="A144" s="94" t="s">
        <v>514</v>
      </c>
      <c r="B144" s="94" t="s">
        <v>108</v>
      </c>
      <c r="C144" s="94" t="s">
        <v>480</v>
      </c>
      <c r="D144" s="199" t="s">
        <v>481</v>
      </c>
      <c r="E144" s="199"/>
      <c r="F144" s="94" t="s">
        <v>366</v>
      </c>
      <c r="G144" s="96">
        <v>588.72</v>
      </c>
      <c r="H144" s="97"/>
      <c r="I144" s="98">
        <v>21</v>
      </c>
      <c r="J144" s="97">
        <f t="shared" si="110"/>
        <v>0</v>
      </c>
      <c r="K144" s="97">
        <f t="shared" si="111"/>
        <v>0</v>
      </c>
      <c r="L144" s="97">
        <f t="shared" si="112"/>
        <v>0</v>
      </c>
      <c r="M144" s="97">
        <f t="shared" si="113"/>
        <v>0</v>
      </c>
      <c r="N144" s="97">
        <v>0</v>
      </c>
      <c r="O144" s="96">
        <f t="shared" si="114"/>
        <v>0</v>
      </c>
      <c r="P144" s="99" t="s">
        <v>156</v>
      </c>
      <c r="Z144" s="55">
        <f t="shared" si="115"/>
        <v>0</v>
      </c>
      <c r="AB144" s="55">
        <f t="shared" si="116"/>
        <v>0</v>
      </c>
      <c r="AC144" s="55">
        <f t="shared" si="117"/>
        <v>0</v>
      </c>
      <c r="AD144" s="55">
        <f t="shared" si="118"/>
        <v>0</v>
      </c>
      <c r="AE144" s="55">
        <f t="shared" si="119"/>
        <v>0</v>
      </c>
      <c r="AF144" s="55">
        <f t="shared" si="120"/>
        <v>0</v>
      </c>
      <c r="AG144" s="55">
        <f t="shared" si="121"/>
        <v>0</v>
      </c>
      <c r="AH144" s="55">
        <f t="shared" si="122"/>
        <v>0</v>
      </c>
      <c r="AI144" s="75" t="s">
        <v>108</v>
      </c>
      <c r="AJ144" s="55">
        <f t="shared" si="123"/>
        <v>0</v>
      </c>
      <c r="AK144" s="55">
        <f t="shared" si="124"/>
        <v>0</v>
      </c>
      <c r="AL144" s="55">
        <f t="shared" si="125"/>
        <v>0</v>
      </c>
      <c r="AN144" s="55">
        <v>21</v>
      </c>
      <c r="AO144" s="55">
        <f t="shared" si="126"/>
        <v>0</v>
      </c>
      <c r="AP144" s="55">
        <f t="shared" si="127"/>
        <v>0</v>
      </c>
      <c r="AQ144" s="54" t="s">
        <v>152</v>
      </c>
      <c r="AV144" s="55">
        <f t="shared" si="128"/>
        <v>0</v>
      </c>
      <c r="AW144" s="55">
        <f t="shared" si="129"/>
        <v>0</v>
      </c>
      <c r="AX144" s="55">
        <f t="shared" si="130"/>
        <v>0</v>
      </c>
      <c r="AY144" s="54" t="s">
        <v>478</v>
      </c>
      <c r="AZ144" s="54" t="s">
        <v>498</v>
      </c>
      <c r="BA144" s="75" t="s">
        <v>499</v>
      </c>
      <c r="BC144" s="55">
        <f t="shared" si="131"/>
        <v>0</v>
      </c>
      <c r="BD144" s="55">
        <f t="shared" si="132"/>
        <v>0</v>
      </c>
      <c r="BE144" s="55">
        <v>0</v>
      </c>
      <c r="BF144" s="55">
        <f t="shared" si="133"/>
        <v>0</v>
      </c>
      <c r="BH144" s="55">
        <f t="shared" si="134"/>
        <v>0</v>
      </c>
      <c r="BI144" s="55">
        <f t="shared" si="135"/>
        <v>0</v>
      </c>
      <c r="BJ144" s="55">
        <f t="shared" si="136"/>
        <v>0</v>
      </c>
      <c r="BK144" s="54" t="s">
        <v>161</v>
      </c>
      <c r="BL144" s="55">
        <v>16</v>
      </c>
      <c r="BW144" s="55">
        <f t="shared" si="137"/>
        <v>21</v>
      </c>
      <c r="BX144" s="16" t="s">
        <v>481</v>
      </c>
    </row>
    <row r="145" spans="1:76" ht="15" customHeight="1" x14ac:dyDescent="0.3">
      <c r="A145" s="94" t="s">
        <v>515</v>
      </c>
      <c r="B145" s="94" t="s">
        <v>108</v>
      </c>
      <c r="C145" s="94" t="s">
        <v>476</v>
      </c>
      <c r="D145" s="199" t="s">
        <v>477</v>
      </c>
      <c r="E145" s="199"/>
      <c r="F145" s="94" t="s">
        <v>366</v>
      </c>
      <c r="G145" s="96">
        <v>270.77800000000002</v>
      </c>
      <c r="H145" s="97"/>
      <c r="I145" s="98">
        <v>21</v>
      </c>
      <c r="J145" s="97">
        <f t="shared" si="110"/>
        <v>0</v>
      </c>
      <c r="K145" s="97">
        <f t="shared" si="111"/>
        <v>0</v>
      </c>
      <c r="L145" s="97">
        <f t="shared" si="112"/>
        <v>0</v>
      </c>
      <c r="M145" s="97">
        <f t="shared" si="113"/>
        <v>0</v>
      </c>
      <c r="N145" s="97">
        <v>0</v>
      </c>
      <c r="O145" s="96">
        <f t="shared" si="114"/>
        <v>0</v>
      </c>
      <c r="P145" s="99" t="s">
        <v>156</v>
      </c>
      <c r="Z145" s="55">
        <f t="shared" si="115"/>
        <v>0</v>
      </c>
      <c r="AB145" s="55">
        <f t="shared" si="116"/>
        <v>0</v>
      </c>
      <c r="AC145" s="55">
        <f t="shared" si="117"/>
        <v>0</v>
      </c>
      <c r="AD145" s="55">
        <f t="shared" si="118"/>
        <v>0</v>
      </c>
      <c r="AE145" s="55">
        <f t="shared" si="119"/>
        <v>0</v>
      </c>
      <c r="AF145" s="55">
        <f t="shared" si="120"/>
        <v>0</v>
      </c>
      <c r="AG145" s="55">
        <f t="shared" si="121"/>
        <v>0</v>
      </c>
      <c r="AH145" s="55">
        <f t="shared" si="122"/>
        <v>0</v>
      </c>
      <c r="AI145" s="75" t="s">
        <v>108</v>
      </c>
      <c r="AJ145" s="55">
        <f t="shared" si="123"/>
        <v>0</v>
      </c>
      <c r="AK145" s="55">
        <f t="shared" si="124"/>
        <v>0</v>
      </c>
      <c r="AL145" s="55">
        <f t="shared" si="125"/>
        <v>0</v>
      </c>
      <c r="AN145" s="55">
        <v>21</v>
      </c>
      <c r="AO145" s="55">
        <f t="shared" si="126"/>
        <v>0</v>
      </c>
      <c r="AP145" s="55">
        <f t="shared" si="127"/>
        <v>0</v>
      </c>
      <c r="AQ145" s="54" t="s">
        <v>152</v>
      </c>
      <c r="AV145" s="55">
        <f t="shared" si="128"/>
        <v>0</v>
      </c>
      <c r="AW145" s="55">
        <f t="shared" si="129"/>
        <v>0</v>
      </c>
      <c r="AX145" s="55">
        <f t="shared" si="130"/>
        <v>0</v>
      </c>
      <c r="AY145" s="54" t="s">
        <v>478</v>
      </c>
      <c r="AZ145" s="54" t="s">
        <v>498</v>
      </c>
      <c r="BA145" s="75" t="s">
        <v>499</v>
      </c>
      <c r="BC145" s="55">
        <f t="shared" si="131"/>
        <v>0</v>
      </c>
      <c r="BD145" s="55">
        <f t="shared" si="132"/>
        <v>0</v>
      </c>
      <c r="BE145" s="55">
        <v>0</v>
      </c>
      <c r="BF145" s="55">
        <f t="shared" si="133"/>
        <v>0</v>
      </c>
      <c r="BH145" s="55">
        <f t="shared" si="134"/>
        <v>0</v>
      </c>
      <c r="BI145" s="55">
        <f t="shared" si="135"/>
        <v>0</v>
      </c>
      <c r="BJ145" s="55">
        <f t="shared" si="136"/>
        <v>0</v>
      </c>
      <c r="BK145" s="54" t="s">
        <v>161</v>
      </c>
      <c r="BL145" s="55">
        <v>16</v>
      </c>
      <c r="BW145" s="55">
        <f t="shared" si="137"/>
        <v>21</v>
      </c>
      <c r="BX145" s="16" t="s">
        <v>477</v>
      </c>
    </row>
    <row r="146" spans="1:76" ht="15" customHeight="1" x14ac:dyDescent="0.3">
      <c r="A146" s="94" t="s">
        <v>516</v>
      </c>
      <c r="B146" s="94" t="s">
        <v>108</v>
      </c>
      <c r="C146" s="94" t="s">
        <v>480</v>
      </c>
      <c r="D146" s="199" t="s">
        <v>481</v>
      </c>
      <c r="E146" s="199"/>
      <c r="F146" s="94" t="s">
        <v>366</v>
      </c>
      <c r="G146" s="96">
        <v>2707.78</v>
      </c>
      <c r="H146" s="97"/>
      <c r="I146" s="98">
        <v>21</v>
      </c>
      <c r="J146" s="97">
        <f t="shared" si="110"/>
        <v>0</v>
      </c>
      <c r="K146" s="97">
        <f t="shared" si="111"/>
        <v>0</v>
      </c>
      <c r="L146" s="97">
        <f t="shared" si="112"/>
        <v>0</v>
      </c>
      <c r="M146" s="97">
        <f t="shared" si="113"/>
        <v>0</v>
      </c>
      <c r="N146" s="97">
        <v>0</v>
      </c>
      <c r="O146" s="96">
        <f t="shared" si="114"/>
        <v>0</v>
      </c>
      <c r="P146" s="99" t="s">
        <v>156</v>
      </c>
      <c r="Z146" s="55">
        <f t="shared" si="115"/>
        <v>0</v>
      </c>
      <c r="AB146" s="55">
        <f t="shared" si="116"/>
        <v>0</v>
      </c>
      <c r="AC146" s="55">
        <f t="shared" si="117"/>
        <v>0</v>
      </c>
      <c r="AD146" s="55">
        <f t="shared" si="118"/>
        <v>0</v>
      </c>
      <c r="AE146" s="55">
        <f t="shared" si="119"/>
        <v>0</v>
      </c>
      <c r="AF146" s="55">
        <f t="shared" si="120"/>
        <v>0</v>
      </c>
      <c r="AG146" s="55">
        <f t="shared" si="121"/>
        <v>0</v>
      </c>
      <c r="AH146" s="55">
        <f t="shared" si="122"/>
        <v>0</v>
      </c>
      <c r="AI146" s="75" t="s">
        <v>108</v>
      </c>
      <c r="AJ146" s="55">
        <f t="shared" si="123"/>
        <v>0</v>
      </c>
      <c r="AK146" s="55">
        <f t="shared" si="124"/>
        <v>0</v>
      </c>
      <c r="AL146" s="55">
        <f t="shared" si="125"/>
        <v>0</v>
      </c>
      <c r="AN146" s="55">
        <v>21</v>
      </c>
      <c r="AO146" s="55">
        <f t="shared" si="126"/>
        <v>0</v>
      </c>
      <c r="AP146" s="55">
        <f t="shared" si="127"/>
        <v>0</v>
      </c>
      <c r="AQ146" s="54" t="s">
        <v>152</v>
      </c>
      <c r="AV146" s="55">
        <f t="shared" si="128"/>
        <v>0</v>
      </c>
      <c r="AW146" s="55">
        <f t="shared" si="129"/>
        <v>0</v>
      </c>
      <c r="AX146" s="55">
        <f t="shared" si="130"/>
        <v>0</v>
      </c>
      <c r="AY146" s="54" t="s">
        <v>478</v>
      </c>
      <c r="AZ146" s="54" t="s">
        <v>498</v>
      </c>
      <c r="BA146" s="75" t="s">
        <v>499</v>
      </c>
      <c r="BC146" s="55">
        <f t="shared" si="131"/>
        <v>0</v>
      </c>
      <c r="BD146" s="55">
        <f t="shared" si="132"/>
        <v>0</v>
      </c>
      <c r="BE146" s="55">
        <v>0</v>
      </c>
      <c r="BF146" s="55">
        <f t="shared" si="133"/>
        <v>0</v>
      </c>
      <c r="BH146" s="55">
        <f t="shared" si="134"/>
        <v>0</v>
      </c>
      <c r="BI146" s="55">
        <f t="shared" si="135"/>
        <v>0</v>
      </c>
      <c r="BJ146" s="55">
        <f t="shared" si="136"/>
        <v>0</v>
      </c>
      <c r="BK146" s="54" t="s">
        <v>161</v>
      </c>
      <c r="BL146" s="55">
        <v>16</v>
      </c>
      <c r="BW146" s="55">
        <f t="shared" si="137"/>
        <v>21</v>
      </c>
      <c r="BX146" s="16" t="s">
        <v>481</v>
      </c>
    </row>
    <row r="147" spans="1:76" ht="15" customHeight="1" x14ac:dyDescent="0.3">
      <c r="A147" s="94" t="s">
        <v>517</v>
      </c>
      <c r="B147" s="94" t="s">
        <v>108</v>
      </c>
      <c r="C147" s="94" t="s">
        <v>476</v>
      </c>
      <c r="D147" s="199" t="s">
        <v>477</v>
      </c>
      <c r="E147" s="199"/>
      <c r="F147" s="94" t="s">
        <v>366</v>
      </c>
      <c r="G147" s="96">
        <v>24.8</v>
      </c>
      <c r="H147" s="97"/>
      <c r="I147" s="98">
        <v>21</v>
      </c>
      <c r="J147" s="97">
        <f t="shared" si="110"/>
        <v>0</v>
      </c>
      <c r="K147" s="97">
        <f t="shared" si="111"/>
        <v>0</v>
      </c>
      <c r="L147" s="97">
        <f t="shared" si="112"/>
        <v>0</v>
      </c>
      <c r="M147" s="97">
        <f t="shared" si="113"/>
        <v>0</v>
      </c>
      <c r="N147" s="97">
        <v>0</v>
      </c>
      <c r="O147" s="96">
        <f t="shared" si="114"/>
        <v>0</v>
      </c>
      <c r="P147" s="99" t="s">
        <v>156</v>
      </c>
      <c r="Z147" s="55">
        <f t="shared" si="115"/>
        <v>0</v>
      </c>
      <c r="AB147" s="55">
        <f t="shared" si="116"/>
        <v>0</v>
      </c>
      <c r="AC147" s="55">
        <f t="shared" si="117"/>
        <v>0</v>
      </c>
      <c r="AD147" s="55">
        <f t="shared" si="118"/>
        <v>0</v>
      </c>
      <c r="AE147" s="55">
        <f t="shared" si="119"/>
        <v>0</v>
      </c>
      <c r="AF147" s="55">
        <f t="shared" si="120"/>
        <v>0</v>
      </c>
      <c r="AG147" s="55">
        <f t="shared" si="121"/>
        <v>0</v>
      </c>
      <c r="AH147" s="55">
        <f t="shared" si="122"/>
        <v>0</v>
      </c>
      <c r="AI147" s="75" t="s">
        <v>108</v>
      </c>
      <c r="AJ147" s="55">
        <f t="shared" si="123"/>
        <v>0</v>
      </c>
      <c r="AK147" s="55">
        <f t="shared" si="124"/>
        <v>0</v>
      </c>
      <c r="AL147" s="55">
        <f t="shared" si="125"/>
        <v>0</v>
      </c>
      <c r="AN147" s="55">
        <v>21</v>
      </c>
      <c r="AO147" s="55">
        <f t="shared" si="126"/>
        <v>0</v>
      </c>
      <c r="AP147" s="55">
        <f t="shared" si="127"/>
        <v>0</v>
      </c>
      <c r="AQ147" s="54" t="s">
        <v>152</v>
      </c>
      <c r="AV147" s="55">
        <f t="shared" si="128"/>
        <v>0</v>
      </c>
      <c r="AW147" s="55">
        <f t="shared" si="129"/>
        <v>0</v>
      </c>
      <c r="AX147" s="55">
        <f t="shared" si="130"/>
        <v>0</v>
      </c>
      <c r="AY147" s="54" t="s">
        <v>478</v>
      </c>
      <c r="AZ147" s="54" t="s">
        <v>498</v>
      </c>
      <c r="BA147" s="75" t="s">
        <v>499</v>
      </c>
      <c r="BC147" s="55">
        <f t="shared" si="131"/>
        <v>0</v>
      </c>
      <c r="BD147" s="55">
        <f t="shared" si="132"/>
        <v>0</v>
      </c>
      <c r="BE147" s="55">
        <v>0</v>
      </c>
      <c r="BF147" s="55">
        <f t="shared" si="133"/>
        <v>0</v>
      </c>
      <c r="BH147" s="55">
        <f t="shared" si="134"/>
        <v>0</v>
      </c>
      <c r="BI147" s="55">
        <f t="shared" si="135"/>
        <v>0</v>
      </c>
      <c r="BJ147" s="55">
        <f t="shared" si="136"/>
        <v>0</v>
      </c>
      <c r="BK147" s="54" t="s">
        <v>161</v>
      </c>
      <c r="BL147" s="55">
        <v>16</v>
      </c>
      <c r="BW147" s="55">
        <f t="shared" si="137"/>
        <v>21</v>
      </c>
      <c r="BX147" s="16" t="s">
        <v>477</v>
      </c>
    </row>
    <row r="148" spans="1:76" ht="15" customHeight="1" x14ac:dyDescent="0.3">
      <c r="A148" s="94" t="s">
        <v>518</v>
      </c>
      <c r="B148" s="94" t="s">
        <v>108</v>
      </c>
      <c r="C148" s="94" t="s">
        <v>480</v>
      </c>
      <c r="D148" s="199" t="s">
        <v>481</v>
      </c>
      <c r="E148" s="199"/>
      <c r="F148" s="94" t="s">
        <v>366</v>
      </c>
      <c r="G148" s="96">
        <v>248</v>
      </c>
      <c r="H148" s="97"/>
      <c r="I148" s="98">
        <v>21</v>
      </c>
      <c r="J148" s="97">
        <f t="shared" si="110"/>
        <v>0</v>
      </c>
      <c r="K148" s="97">
        <f t="shared" si="111"/>
        <v>0</v>
      </c>
      <c r="L148" s="97">
        <f t="shared" si="112"/>
        <v>0</v>
      </c>
      <c r="M148" s="97">
        <f t="shared" si="113"/>
        <v>0</v>
      </c>
      <c r="N148" s="97">
        <v>0</v>
      </c>
      <c r="O148" s="96">
        <f t="shared" si="114"/>
        <v>0</v>
      </c>
      <c r="P148" s="99" t="s">
        <v>156</v>
      </c>
      <c r="Z148" s="55">
        <f t="shared" si="115"/>
        <v>0</v>
      </c>
      <c r="AB148" s="55">
        <f t="shared" si="116"/>
        <v>0</v>
      </c>
      <c r="AC148" s="55">
        <f t="shared" si="117"/>
        <v>0</v>
      </c>
      <c r="AD148" s="55">
        <f t="shared" si="118"/>
        <v>0</v>
      </c>
      <c r="AE148" s="55">
        <f t="shared" si="119"/>
        <v>0</v>
      </c>
      <c r="AF148" s="55">
        <f t="shared" si="120"/>
        <v>0</v>
      </c>
      <c r="AG148" s="55">
        <f t="shared" si="121"/>
        <v>0</v>
      </c>
      <c r="AH148" s="55">
        <f t="shared" si="122"/>
        <v>0</v>
      </c>
      <c r="AI148" s="75" t="s">
        <v>108</v>
      </c>
      <c r="AJ148" s="55">
        <f t="shared" si="123"/>
        <v>0</v>
      </c>
      <c r="AK148" s="55">
        <f t="shared" si="124"/>
        <v>0</v>
      </c>
      <c r="AL148" s="55">
        <f t="shared" si="125"/>
        <v>0</v>
      </c>
      <c r="AN148" s="55">
        <v>21</v>
      </c>
      <c r="AO148" s="55">
        <f t="shared" si="126"/>
        <v>0</v>
      </c>
      <c r="AP148" s="55">
        <f t="shared" si="127"/>
        <v>0</v>
      </c>
      <c r="AQ148" s="54" t="s">
        <v>152</v>
      </c>
      <c r="AV148" s="55">
        <f t="shared" si="128"/>
        <v>0</v>
      </c>
      <c r="AW148" s="55">
        <f t="shared" si="129"/>
        <v>0</v>
      </c>
      <c r="AX148" s="55">
        <f t="shared" si="130"/>
        <v>0</v>
      </c>
      <c r="AY148" s="54" t="s">
        <v>478</v>
      </c>
      <c r="AZ148" s="54" t="s">
        <v>498</v>
      </c>
      <c r="BA148" s="75" t="s">
        <v>499</v>
      </c>
      <c r="BC148" s="55">
        <f t="shared" si="131"/>
        <v>0</v>
      </c>
      <c r="BD148" s="55">
        <f t="shared" si="132"/>
        <v>0</v>
      </c>
      <c r="BE148" s="55">
        <v>0</v>
      </c>
      <c r="BF148" s="55">
        <f t="shared" si="133"/>
        <v>0</v>
      </c>
      <c r="BH148" s="55">
        <f t="shared" si="134"/>
        <v>0</v>
      </c>
      <c r="BI148" s="55">
        <f t="shared" si="135"/>
        <v>0</v>
      </c>
      <c r="BJ148" s="55">
        <f t="shared" si="136"/>
        <v>0</v>
      </c>
      <c r="BK148" s="54" t="s">
        <v>161</v>
      </c>
      <c r="BL148" s="55">
        <v>16</v>
      </c>
      <c r="BW148" s="55">
        <f t="shared" si="137"/>
        <v>21</v>
      </c>
      <c r="BX148" s="16" t="s">
        <v>481</v>
      </c>
    </row>
    <row r="149" spans="1:76" ht="15" customHeight="1" x14ac:dyDescent="0.3">
      <c r="A149" s="88"/>
      <c r="B149" s="89" t="s">
        <v>108</v>
      </c>
      <c r="C149" s="89" t="s">
        <v>228</v>
      </c>
      <c r="D149" s="198" t="s">
        <v>482</v>
      </c>
      <c r="E149" s="198"/>
      <c r="F149" s="88" t="s">
        <v>96</v>
      </c>
      <c r="G149" s="90" t="s">
        <v>96</v>
      </c>
      <c r="H149" s="88"/>
      <c r="I149" s="88" t="s">
        <v>96</v>
      </c>
      <c r="J149" s="91">
        <f>SUM(J150:J151)</f>
        <v>0</v>
      </c>
      <c r="K149" s="91">
        <f>SUM(K150:K151)</f>
        <v>0</v>
      </c>
      <c r="L149" s="91">
        <f>SUM(L150:L151)</f>
        <v>0</v>
      </c>
      <c r="M149" s="91">
        <f>SUM(M150:M151)</f>
        <v>0</v>
      </c>
      <c r="N149" s="92"/>
      <c r="O149" s="93">
        <f>SUM(O150:O151)</f>
        <v>39.68</v>
      </c>
      <c r="P149" s="92"/>
      <c r="AI149" s="75" t="s">
        <v>108</v>
      </c>
      <c r="AS149" s="68">
        <f>SUM(AJ150:AJ151)</f>
        <v>0</v>
      </c>
      <c r="AT149" s="68">
        <f>SUM(AK150:AK151)</f>
        <v>0</v>
      </c>
      <c r="AU149" s="68">
        <f>SUM(AL150:AL151)</f>
        <v>0</v>
      </c>
    </row>
    <row r="150" spans="1:76" ht="23.85" customHeight="1" x14ac:dyDescent="0.3">
      <c r="A150" s="94" t="s">
        <v>519</v>
      </c>
      <c r="B150" s="94" t="s">
        <v>108</v>
      </c>
      <c r="C150" s="94" t="s">
        <v>484</v>
      </c>
      <c r="D150" s="199" t="s">
        <v>520</v>
      </c>
      <c r="E150" s="199"/>
      <c r="F150" s="94" t="s">
        <v>366</v>
      </c>
      <c r="G150" s="96">
        <v>24.8</v>
      </c>
      <c r="H150" s="97"/>
      <c r="I150" s="98">
        <v>21</v>
      </c>
      <c r="J150" s="97">
        <f>ROUND(G150*AO150,2)</f>
        <v>0</v>
      </c>
      <c r="K150" s="97">
        <f>ROUND(G150*AP150,2)</f>
        <v>0</v>
      </c>
      <c r="L150" s="97">
        <f>ROUND(G150*H150,2)</f>
        <v>0</v>
      </c>
      <c r="M150" s="97">
        <f>L150*(1+BW150/100)</f>
        <v>0</v>
      </c>
      <c r="N150" s="97">
        <v>0</v>
      </c>
      <c r="O150" s="96">
        <f>G150*N150</f>
        <v>0</v>
      </c>
      <c r="P150" s="99" t="s">
        <v>156</v>
      </c>
      <c r="Z150" s="55">
        <f>ROUND(IF(AQ150="5",BJ150,0),2)</f>
        <v>0</v>
      </c>
      <c r="AB150" s="55">
        <f>ROUND(IF(AQ150="1",BH150,0),2)</f>
        <v>0</v>
      </c>
      <c r="AC150" s="55">
        <f>ROUND(IF(AQ150="1",BI150,0),2)</f>
        <v>0</v>
      </c>
      <c r="AD150" s="55">
        <f>ROUND(IF(AQ150="7",BH150,0),2)</f>
        <v>0</v>
      </c>
      <c r="AE150" s="55">
        <f>ROUND(IF(AQ150="7",BI150,0),2)</f>
        <v>0</v>
      </c>
      <c r="AF150" s="55">
        <f>ROUND(IF(AQ150="2",BH150,0),2)</f>
        <v>0</v>
      </c>
      <c r="AG150" s="55">
        <f>ROUND(IF(AQ150="2",BI150,0),2)</f>
        <v>0</v>
      </c>
      <c r="AH150" s="55">
        <f>ROUND(IF(AQ150="0",BJ150,0),2)</f>
        <v>0</v>
      </c>
      <c r="AI150" s="75" t="s">
        <v>108</v>
      </c>
      <c r="AJ150" s="55">
        <f>IF(AN150=0,L150,0)</f>
        <v>0</v>
      </c>
      <c r="AK150" s="55">
        <f>IF(AN150=12,L150,0)</f>
        <v>0</v>
      </c>
      <c r="AL150" s="55">
        <f>IF(AN150=21,L150,0)</f>
        <v>0</v>
      </c>
      <c r="AN150" s="55">
        <v>21</v>
      </c>
      <c r="AO150" s="55">
        <f>H150*0</f>
        <v>0</v>
      </c>
      <c r="AP150" s="55">
        <f>H150*(1-0)</f>
        <v>0</v>
      </c>
      <c r="AQ150" s="54" t="s">
        <v>152</v>
      </c>
      <c r="AV150" s="55">
        <f>ROUND(AW150+AX150,2)</f>
        <v>0</v>
      </c>
      <c r="AW150" s="55">
        <f>ROUND(G150*AO150,2)</f>
        <v>0</v>
      </c>
      <c r="AX150" s="55">
        <f>ROUND(G150*AP150,2)</f>
        <v>0</v>
      </c>
      <c r="AY150" s="54" t="s">
        <v>486</v>
      </c>
      <c r="AZ150" s="54" t="s">
        <v>498</v>
      </c>
      <c r="BA150" s="75" t="s">
        <v>499</v>
      </c>
      <c r="BC150" s="55">
        <f>AW150+AX150</f>
        <v>0</v>
      </c>
      <c r="BD150" s="55">
        <f>H150/(100-BE150)*100</f>
        <v>0</v>
      </c>
      <c r="BE150" s="55">
        <v>0</v>
      </c>
      <c r="BF150" s="55">
        <f>O150</f>
        <v>0</v>
      </c>
      <c r="BH150" s="55">
        <f>G150*AO150</f>
        <v>0</v>
      </c>
      <c r="BI150" s="55">
        <f>G150*AP150</f>
        <v>0</v>
      </c>
      <c r="BJ150" s="55">
        <f>G150*H150</f>
        <v>0</v>
      </c>
      <c r="BK150" s="54" t="s">
        <v>161</v>
      </c>
      <c r="BL150" s="55">
        <v>17</v>
      </c>
      <c r="BW150" s="55">
        <f>I150</f>
        <v>21</v>
      </c>
      <c r="BX150" s="16" t="s">
        <v>520</v>
      </c>
    </row>
    <row r="151" spans="1:76" ht="23.85" customHeight="1" x14ac:dyDescent="0.3">
      <c r="A151" s="105" t="s">
        <v>521</v>
      </c>
      <c r="B151" s="105" t="s">
        <v>108</v>
      </c>
      <c r="C151" s="105" t="s">
        <v>487</v>
      </c>
      <c r="D151" s="201" t="s">
        <v>522</v>
      </c>
      <c r="E151" s="201"/>
      <c r="F151" s="105" t="s">
        <v>323</v>
      </c>
      <c r="G151" s="107">
        <v>39.68</v>
      </c>
      <c r="H151" s="108"/>
      <c r="I151" s="109">
        <v>21</v>
      </c>
      <c r="J151" s="108">
        <f>ROUND(G151*AO151,2)</f>
        <v>0</v>
      </c>
      <c r="K151" s="108">
        <f>ROUND(G151*AP151,2)</f>
        <v>0</v>
      </c>
      <c r="L151" s="108">
        <f>ROUND(G151*H151,2)</f>
        <v>0</v>
      </c>
      <c r="M151" s="108">
        <f>L151*(1+BW151/100)</f>
        <v>0</v>
      </c>
      <c r="N151" s="108">
        <v>1</v>
      </c>
      <c r="O151" s="107">
        <f>G151*N151</f>
        <v>39.68</v>
      </c>
      <c r="P151" s="110" t="s">
        <v>156</v>
      </c>
      <c r="Z151" s="55">
        <f>ROUND(IF(AQ151="5",BJ151,0),2)</f>
        <v>0</v>
      </c>
      <c r="AB151" s="55">
        <f>ROUND(IF(AQ151="1",BH151,0),2)</f>
        <v>0</v>
      </c>
      <c r="AC151" s="55">
        <f>ROUND(IF(AQ151="1",BI151,0),2)</f>
        <v>0</v>
      </c>
      <c r="AD151" s="55">
        <f>ROUND(IF(AQ151="7",BH151,0),2)</f>
        <v>0</v>
      </c>
      <c r="AE151" s="55">
        <f>ROUND(IF(AQ151="7",BI151,0),2)</f>
        <v>0</v>
      </c>
      <c r="AF151" s="55">
        <f>ROUND(IF(AQ151="2",BH151,0),2)</f>
        <v>0</v>
      </c>
      <c r="AG151" s="55">
        <f>ROUND(IF(AQ151="2",BI151,0),2)</f>
        <v>0</v>
      </c>
      <c r="AH151" s="55">
        <f>ROUND(IF(AQ151="0",BJ151,0),2)</f>
        <v>0</v>
      </c>
      <c r="AI151" s="75" t="s">
        <v>108</v>
      </c>
      <c r="AJ151" s="111">
        <f>IF(AN151=0,L151,0)</f>
        <v>0</v>
      </c>
      <c r="AK151" s="111">
        <f>IF(AN151=12,L151,0)</f>
        <v>0</v>
      </c>
      <c r="AL151" s="111">
        <f>IF(AN151=21,L151,0)</f>
        <v>0</v>
      </c>
      <c r="AN151" s="55">
        <v>21</v>
      </c>
      <c r="AO151" s="55">
        <f>H151*1</f>
        <v>0</v>
      </c>
      <c r="AP151" s="55">
        <f>H151*(1-1)</f>
        <v>0</v>
      </c>
      <c r="AQ151" s="112" t="s">
        <v>152</v>
      </c>
      <c r="AV151" s="55">
        <f>ROUND(AW151+AX151,2)</f>
        <v>0</v>
      </c>
      <c r="AW151" s="55">
        <f>ROUND(G151*AO151,2)</f>
        <v>0</v>
      </c>
      <c r="AX151" s="55">
        <f>ROUND(G151*AP151,2)</f>
        <v>0</v>
      </c>
      <c r="AY151" s="54" t="s">
        <v>486</v>
      </c>
      <c r="AZ151" s="54" t="s">
        <v>498</v>
      </c>
      <c r="BA151" s="75" t="s">
        <v>499</v>
      </c>
      <c r="BC151" s="55">
        <f>AW151+AX151</f>
        <v>0</v>
      </c>
      <c r="BD151" s="55">
        <f>H151/(100-BE151)*100</f>
        <v>0</v>
      </c>
      <c r="BE151" s="55">
        <v>0</v>
      </c>
      <c r="BF151" s="55">
        <f>O151</f>
        <v>39.68</v>
      </c>
      <c r="BH151" s="111">
        <f>G151*AO151</f>
        <v>0</v>
      </c>
      <c r="BI151" s="111">
        <f>G151*AP151</f>
        <v>0</v>
      </c>
      <c r="BJ151" s="111">
        <f>G151*H151</f>
        <v>0</v>
      </c>
      <c r="BK151" s="112" t="s">
        <v>489</v>
      </c>
      <c r="BL151" s="55">
        <v>17</v>
      </c>
      <c r="BW151" s="55">
        <f>I151</f>
        <v>21</v>
      </c>
      <c r="BX151" s="113" t="s">
        <v>522</v>
      </c>
    </row>
    <row r="152" spans="1:76" ht="15" customHeight="1" x14ac:dyDescent="0.3">
      <c r="A152" s="88"/>
      <c r="B152" s="89" t="s">
        <v>108</v>
      </c>
      <c r="C152" s="89" t="s">
        <v>234</v>
      </c>
      <c r="D152" s="198" t="s">
        <v>523</v>
      </c>
      <c r="E152" s="198"/>
      <c r="F152" s="88" t="s">
        <v>96</v>
      </c>
      <c r="G152" s="90" t="s">
        <v>96</v>
      </c>
      <c r="H152" s="88"/>
      <c r="I152" s="88" t="s">
        <v>96</v>
      </c>
      <c r="J152" s="91">
        <f>SUM(J153:J155)</f>
        <v>0</v>
      </c>
      <c r="K152" s="91">
        <f>SUM(K153:K155)</f>
        <v>0</v>
      </c>
      <c r="L152" s="91">
        <f>SUM(L153:L155)</f>
        <v>0</v>
      </c>
      <c r="M152" s="91">
        <f>SUM(M153:M155)</f>
        <v>0</v>
      </c>
      <c r="N152" s="92"/>
      <c r="O152" s="93">
        <f>SUM(O153:O155)</f>
        <v>265.36799999999999</v>
      </c>
      <c r="P152" s="92"/>
      <c r="AI152" s="75" t="s">
        <v>108</v>
      </c>
      <c r="AS152" s="68">
        <f>SUM(AJ153:AJ155)</f>
        <v>0</v>
      </c>
      <c r="AT152" s="68">
        <f>SUM(AK153:AK155)</f>
        <v>0</v>
      </c>
      <c r="AU152" s="68">
        <f>SUM(AL153:AL155)</f>
        <v>0</v>
      </c>
    </row>
    <row r="153" spans="1:76" ht="15" customHeight="1" x14ac:dyDescent="0.3">
      <c r="A153" s="94" t="s">
        <v>524</v>
      </c>
      <c r="B153" s="94" t="s">
        <v>108</v>
      </c>
      <c r="C153" s="94" t="s">
        <v>525</v>
      </c>
      <c r="D153" s="199" t="s">
        <v>526</v>
      </c>
      <c r="E153" s="199"/>
      <c r="F153" s="94" t="s">
        <v>155</v>
      </c>
      <c r="G153" s="96">
        <v>376.94400000000002</v>
      </c>
      <c r="H153" s="97"/>
      <c r="I153" s="98">
        <v>21</v>
      </c>
      <c r="J153" s="97">
        <f>ROUND(G153*AO153,2)</f>
        <v>0</v>
      </c>
      <c r="K153" s="97">
        <f>ROUND(G153*AP153,2)</f>
        <v>0</v>
      </c>
      <c r="L153" s="97">
        <f>ROUND(G153*H153,2)</f>
        <v>0</v>
      </c>
      <c r="M153" s="97">
        <f>L153*(1+BW153/100)</f>
        <v>0</v>
      </c>
      <c r="N153" s="97">
        <v>0</v>
      </c>
      <c r="O153" s="96">
        <f>G153*N153</f>
        <v>0</v>
      </c>
      <c r="P153" s="99" t="s">
        <v>156</v>
      </c>
      <c r="Z153" s="55">
        <f>ROUND(IF(AQ153="5",BJ153,0),2)</f>
        <v>0</v>
      </c>
      <c r="AB153" s="55">
        <f>ROUND(IF(AQ153="1",BH153,0),2)</f>
        <v>0</v>
      </c>
      <c r="AC153" s="55">
        <f>ROUND(IF(AQ153="1",BI153,0),2)</f>
        <v>0</v>
      </c>
      <c r="AD153" s="55">
        <f>ROUND(IF(AQ153="7",BH153,0),2)</f>
        <v>0</v>
      </c>
      <c r="AE153" s="55">
        <f>ROUND(IF(AQ153="7",BI153,0),2)</f>
        <v>0</v>
      </c>
      <c r="AF153" s="55">
        <f>ROUND(IF(AQ153="2",BH153,0),2)</f>
        <v>0</v>
      </c>
      <c r="AG153" s="55">
        <f>ROUND(IF(AQ153="2",BI153,0),2)</f>
        <v>0</v>
      </c>
      <c r="AH153" s="55">
        <f>ROUND(IF(AQ153="0",BJ153,0),2)</f>
        <v>0</v>
      </c>
      <c r="AI153" s="75" t="s">
        <v>108</v>
      </c>
      <c r="AJ153" s="55">
        <f>IF(AN153=0,L153,0)</f>
        <v>0</v>
      </c>
      <c r="AK153" s="55">
        <f>IF(AN153=12,L153,0)</f>
        <v>0</v>
      </c>
      <c r="AL153" s="55">
        <f>IF(AN153=21,L153,0)</f>
        <v>0</v>
      </c>
      <c r="AN153" s="55">
        <v>21</v>
      </c>
      <c r="AO153" s="55">
        <f>H153*0</f>
        <v>0</v>
      </c>
      <c r="AP153" s="55">
        <f>H153*(1-0)</f>
        <v>0</v>
      </c>
      <c r="AQ153" s="54" t="s">
        <v>152</v>
      </c>
      <c r="AV153" s="55">
        <f>ROUND(AW153+AX153,2)</f>
        <v>0</v>
      </c>
      <c r="AW153" s="55">
        <f>ROUND(G153*AO153,2)</f>
        <v>0</v>
      </c>
      <c r="AX153" s="55">
        <f>ROUND(G153*AP153,2)</f>
        <v>0</v>
      </c>
      <c r="AY153" s="54" t="s">
        <v>527</v>
      </c>
      <c r="AZ153" s="54" t="s">
        <v>498</v>
      </c>
      <c r="BA153" s="75" t="s">
        <v>499</v>
      </c>
      <c r="BC153" s="55">
        <f>AW153+AX153</f>
        <v>0</v>
      </c>
      <c r="BD153" s="55">
        <f>H153/(100-BE153)*100</f>
        <v>0</v>
      </c>
      <c r="BE153" s="55">
        <v>0</v>
      </c>
      <c r="BF153" s="55">
        <f>O153</f>
        <v>0</v>
      </c>
      <c r="BH153" s="55">
        <f>G153*AO153</f>
        <v>0</v>
      </c>
      <c r="BI153" s="55">
        <f>G153*AP153</f>
        <v>0</v>
      </c>
      <c r="BJ153" s="55">
        <f>G153*H153</f>
        <v>0</v>
      </c>
      <c r="BK153" s="54" t="s">
        <v>161</v>
      </c>
      <c r="BL153" s="55">
        <v>18</v>
      </c>
      <c r="BW153" s="55">
        <f>I153</f>
        <v>21</v>
      </c>
      <c r="BX153" s="16" t="s">
        <v>526</v>
      </c>
    </row>
    <row r="154" spans="1:76" ht="23.85" customHeight="1" x14ac:dyDescent="0.3">
      <c r="A154" s="105" t="s">
        <v>528</v>
      </c>
      <c r="B154" s="105" t="s">
        <v>108</v>
      </c>
      <c r="C154" s="105" t="s">
        <v>529</v>
      </c>
      <c r="D154" s="201" t="s">
        <v>530</v>
      </c>
      <c r="E154" s="201"/>
      <c r="F154" s="105" t="s">
        <v>323</v>
      </c>
      <c r="G154" s="107">
        <v>265.36799999999999</v>
      </c>
      <c r="H154" s="108"/>
      <c r="I154" s="109">
        <v>21</v>
      </c>
      <c r="J154" s="108">
        <f>ROUND(G154*AO154,2)</f>
        <v>0</v>
      </c>
      <c r="K154" s="108">
        <f>ROUND(G154*AP154,2)</f>
        <v>0</v>
      </c>
      <c r="L154" s="108">
        <f>ROUND(G154*H154,2)</f>
        <v>0</v>
      </c>
      <c r="M154" s="108">
        <f>L154*(1+BW154/100)</f>
        <v>0</v>
      </c>
      <c r="N154" s="108">
        <v>1</v>
      </c>
      <c r="O154" s="107">
        <f>G154*N154</f>
        <v>265.36799999999999</v>
      </c>
      <c r="P154" s="110" t="s">
        <v>156</v>
      </c>
      <c r="Z154" s="55">
        <f>ROUND(IF(AQ154="5",BJ154,0),2)</f>
        <v>0</v>
      </c>
      <c r="AB154" s="55">
        <f>ROUND(IF(AQ154="1",BH154,0),2)</f>
        <v>0</v>
      </c>
      <c r="AC154" s="55">
        <f>ROUND(IF(AQ154="1",BI154,0),2)</f>
        <v>0</v>
      </c>
      <c r="AD154" s="55">
        <f>ROUND(IF(AQ154="7",BH154,0),2)</f>
        <v>0</v>
      </c>
      <c r="AE154" s="55">
        <f>ROUND(IF(AQ154="7",BI154,0),2)</f>
        <v>0</v>
      </c>
      <c r="AF154" s="55">
        <f>ROUND(IF(AQ154="2",BH154,0),2)</f>
        <v>0</v>
      </c>
      <c r="AG154" s="55">
        <f>ROUND(IF(AQ154="2",BI154,0),2)</f>
        <v>0</v>
      </c>
      <c r="AH154" s="55">
        <f>ROUND(IF(AQ154="0",BJ154,0),2)</f>
        <v>0</v>
      </c>
      <c r="AI154" s="75" t="s">
        <v>108</v>
      </c>
      <c r="AJ154" s="111">
        <f>IF(AN154=0,L154,0)</f>
        <v>0</v>
      </c>
      <c r="AK154" s="111">
        <f>IF(AN154=12,L154,0)</f>
        <v>0</v>
      </c>
      <c r="AL154" s="111">
        <f>IF(AN154=21,L154,0)</f>
        <v>0</v>
      </c>
      <c r="AN154" s="55">
        <v>21</v>
      </c>
      <c r="AO154" s="55">
        <f>H154*1</f>
        <v>0</v>
      </c>
      <c r="AP154" s="55">
        <f>H154*(1-1)</f>
        <v>0</v>
      </c>
      <c r="AQ154" s="112" t="s">
        <v>152</v>
      </c>
      <c r="AV154" s="55">
        <f>ROUND(AW154+AX154,2)</f>
        <v>0</v>
      </c>
      <c r="AW154" s="55">
        <f>ROUND(G154*AO154,2)</f>
        <v>0</v>
      </c>
      <c r="AX154" s="55">
        <f>ROUND(G154*AP154,2)</f>
        <v>0</v>
      </c>
      <c r="AY154" s="54" t="s">
        <v>527</v>
      </c>
      <c r="AZ154" s="54" t="s">
        <v>498</v>
      </c>
      <c r="BA154" s="75" t="s">
        <v>499</v>
      </c>
      <c r="BC154" s="55">
        <f>AW154+AX154</f>
        <v>0</v>
      </c>
      <c r="BD154" s="55">
        <f>H154/(100-BE154)*100</f>
        <v>0</v>
      </c>
      <c r="BE154" s="55">
        <v>0</v>
      </c>
      <c r="BF154" s="55">
        <f>O154</f>
        <v>265.36799999999999</v>
      </c>
      <c r="BH154" s="111">
        <f>G154*AO154</f>
        <v>0</v>
      </c>
      <c r="BI154" s="111">
        <f>G154*AP154</f>
        <v>0</v>
      </c>
      <c r="BJ154" s="111">
        <f>G154*H154</f>
        <v>0</v>
      </c>
      <c r="BK154" s="112" t="s">
        <v>489</v>
      </c>
      <c r="BL154" s="55">
        <v>18</v>
      </c>
      <c r="BW154" s="55">
        <f>I154</f>
        <v>21</v>
      </c>
      <c r="BX154" s="113" t="s">
        <v>530</v>
      </c>
    </row>
    <row r="155" spans="1:76" ht="15" customHeight="1" x14ac:dyDescent="0.3">
      <c r="A155" s="94" t="s">
        <v>531</v>
      </c>
      <c r="B155" s="94" t="s">
        <v>108</v>
      </c>
      <c r="C155" s="94" t="s">
        <v>532</v>
      </c>
      <c r="D155" s="199" t="s">
        <v>533</v>
      </c>
      <c r="E155" s="199"/>
      <c r="F155" s="94" t="s">
        <v>155</v>
      </c>
      <c r="G155" s="96">
        <v>376.94400000000002</v>
      </c>
      <c r="H155" s="97"/>
      <c r="I155" s="98">
        <v>21</v>
      </c>
      <c r="J155" s="97">
        <f>ROUND(G155*AO155,2)</f>
        <v>0</v>
      </c>
      <c r="K155" s="97">
        <f>ROUND(G155*AP155,2)</f>
        <v>0</v>
      </c>
      <c r="L155" s="97">
        <f>ROUND(G155*H155,2)</f>
        <v>0</v>
      </c>
      <c r="M155" s="97">
        <f>L155*(1+BW155/100)</f>
        <v>0</v>
      </c>
      <c r="N155" s="97">
        <v>0</v>
      </c>
      <c r="O155" s="96">
        <f>G155*N155</f>
        <v>0</v>
      </c>
      <c r="P155" s="99" t="s">
        <v>156</v>
      </c>
      <c r="Z155" s="55">
        <f>ROUND(IF(AQ155="5",BJ155,0),2)</f>
        <v>0</v>
      </c>
      <c r="AB155" s="55">
        <f>ROUND(IF(AQ155="1",BH155,0),2)</f>
        <v>0</v>
      </c>
      <c r="AC155" s="55">
        <f>ROUND(IF(AQ155="1",BI155,0),2)</f>
        <v>0</v>
      </c>
      <c r="AD155" s="55">
        <f>ROUND(IF(AQ155="7",BH155,0),2)</f>
        <v>0</v>
      </c>
      <c r="AE155" s="55">
        <f>ROUND(IF(AQ155="7",BI155,0),2)</f>
        <v>0</v>
      </c>
      <c r="AF155" s="55">
        <f>ROUND(IF(AQ155="2",BH155,0),2)</f>
        <v>0</v>
      </c>
      <c r="AG155" s="55">
        <f>ROUND(IF(AQ155="2",BI155,0),2)</f>
        <v>0</v>
      </c>
      <c r="AH155" s="55">
        <f>ROUND(IF(AQ155="0",BJ155,0),2)</f>
        <v>0</v>
      </c>
      <c r="AI155" s="75" t="s">
        <v>108</v>
      </c>
      <c r="AJ155" s="55">
        <f>IF(AN155=0,L155,0)</f>
        <v>0</v>
      </c>
      <c r="AK155" s="55">
        <f>IF(AN155=12,L155,0)</f>
        <v>0</v>
      </c>
      <c r="AL155" s="55">
        <f>IF(AN155=21,L155,0)</f>
        <v>0</v>
      </c>
      <c r="AN155" s="55">
        <v>21</v>
      </c>
      <c r="AO155" s="55">
        <f>H155*0</f>
        <v>0</v>
      </c>
      <c r="AP155" s="55">
        <f>H155*(1-0)</f>
        <v>0</v>
      </c>
      <c r="AQ155" s="54" t="s">
        <v>152</v>
      </c>
      <c r="AV155" s="55">
        <f>ROUND(AW155+AX155,2)</f>
        <v>0</v>
      </c>
      <c r="AW155" s="55">
        <f>ROUND(G155*AO155,2)</f>
        <v>0</v>
      </c>
      <c r="AX155" s="55">
        <f>ROUND(G155*AP155,2)</f>
        <v>0</v>
      </c>
      <c r="AY155" s="54" t="s">
        <v>527</v>
      </c>
      <c r="AZ155" s="54" t="s">
        <v>498</v>
      </c>
      <c r="BA155" s="75" t="s">
        <v>499</v>
      </c>
      <c r="BC155" s="55">
        <f>AW155+AX155</f>
        <v>0</v>
      </c>
      <c r="BD155" s="55">
        <f>H155/(100-BE155)*100</f>
        <v>0</v>
      </c>
      <c r="BE155" s="55">
        <v>0</v>
      </c>
      <c r="BF155" s="55">
        <f>O155</f>
        <v>0</v>
      </c>
      <c r="BH155" s="55">
        <f>G155*AO155</f>
        <v>0</v>
      </c>
      <c r="BI155" s="55">
        <f>G155*AP155</f>
        <v>0</v>
      </c>
      <c r="BJ155" s="55">
        <f>G155*H155</f>
        <v>0</v>
      </c>
      <c r="BK155" s="54" t="s">
        <v>161</v>
      </c>
      <c r="BL155" s="55">
        <v>18</v>
      </c>
      <c r="BW155" s="55">
        <f>I155</f>
        <v>21</v>
      </c>
      <c r="BX155" s="16" t="s">
        <v>533</v>
      </c>
    </row>
    <row r="156" spans="1:76" ht="15" customHeight="1" x14ac:dyDescent="0.3">
      <c r="A156" s="88"/>
      <c r="B156" s="89" t="s">
        <v>108</v>
      </c>
      <c r="C156" s="89" t="s">
        <v>266</v>
      </c>
      <c r="D156" s="198" t="s">
        <v>267</v>
      </c>
      <c r="E156" s="198"/>
      <c r="F156" s="88" t="s">
        <v>96</v>
      </c>
      <c r="G156" s="90" t="s">
        <v>96</v>
      </c>
      <c r="H156" s="88"/>
      <c r="I156" s="88" t="s">
        <v>96</v>
      </c>
      <c r="J156" s="91">
        <f>SUM(J157)</f>
        <v>0</v>
      </c>
      <c r="K156" s="91">
        <f>SUM(K157)</f>
        <v>0</v>
      </c>
      <c r="L156" s="91">
        <f>SUM(L157)</f>
        <v>0</v>
      </c>
      <c r="M156" s="91">
        <f>SUM(M157)</f>
        <v>0</v>
      </c>
      <c r="N156" s="92"/>
      <c r="O156" s="93">
        <f>SUM(O157)</f>
        <v>0.21</v>
      </c>
      <c r="P156" s="92"/>
      <c r="AI156" s="75" t="s">
        <v>108</v>
      </c>
      <c r="AS156" s="68">
        <f>SUM(AJ157)</f>
        <v>0</v>
      </c>
      <c r="AT156" s="68">
        <f>SUM(AK157)</f>
        <v>0</v>
      </c>
      <c r="AU156" s="68">
        <f>SUM(AL157)</f>
        <v>0</v>
      </c>
    </row>
    <row r="157" spans="1:76" ht="15" customHeight="1" x14ac:dyDescent="0.3">
      <c r="A157" s="94" t="s">
        <v>534</v>
      </c>
      <c r="B157" s="94" t="s">
        <v>108</v>
      </c>
      <c r="C157" s="94" t="s">
        <v>535</v>
      </c>
      <c r="D157" s="199" t="s">
        <v>536</v>
      </c>
      <c r="E157" s="199"/>
      <c r="F157" s="94" t="s">
        <v>212</v>
      </c>
      <c r="G157" s="96">
        <v>1</v>
      </c>
      <c r="H157" s="97"/>
      <c r="I157" s="98">
        <v>21</v>
      </c>
      <c r="J157" s="97">
        <f>ROUND(G157*AO157,2)</f>
        <v>0</v>
      </c>
      <c r="K157" s="97">
        <f>ROUND(G157*AP157,2)</f>
        <v>0</v>
      </c>
      <c r="L157" s="97">
        <f>ROUND(G157*H157,2)</f>
        <v>0</v>
      </c>
      <c r="M157" s="97">
        <f>L157*(1+BW157/100)</f>
        <v>0</v>
      </c>
      <c r="N157" s="97">
        <v>0.21</v>
      </c>
      <c r="O157" s="96">
        <f>G157*N157</f>
        <v>0.21</v>
      </c>
      <c r="P157" s="99" t="s">
        <v>156</v>
      </c>
      <c r="Z157" s="55">
        <f>ROUND(IF(AQ157="5",BJ157,0),2)</f>
        <v>0</v>
      </c>
      <c r="AB157" s="55">
        <f>ROUND(IF(AQ157="1",BH157,0),2)</f>
        <v>0</v>
      </c>
      <c r="AC157" s="55">
        <f>ROUND(IF(AQ157="1",BI157,0),2)</f>
        <v>0</v>
      </c>
      <c r="AD157" s="55">
        <f>ROUND(IF(AQ157="7",BH157,0),2)</f>
        <v>0</v>
      </c>
      <c r="AE157" s="55">
        <f>ROUND(IF(AQ157="7",BI157,0),2)</f>
        <v>0</v>
      </c>
      <c r="AF157" s="55">
        <f>ROUND(IF(AQ157="2",BH157,0),2)</f>
        <v>0</v>
      </c>
      <c r="AG157" s="55">
        <f>ROUND(IF(AQ157="2",BI157,0),2)</f>
        <v>0</v>
      </c>
      <c r="AH157" s="55">
        <f>ROUND(IF(AQ157="0",BJ157,0),2)</f>
        <v>0</v>
      </c>
      <c r="AI157" s="75" t="s">
        <v>108</v>
      </c>
      <c r="AJ157" s="55">
        <f>IF(AN157=0,L157,0)</f>
        <v>0</v>
      </c>
      <c r="AK157" s="55">
        <f>IF(AN157=12,L157,0)</f>
        <v>0</v>
      </c>
      <c r="AL157" s="55">
        <f>IF(AN157=21,L157,0)</f>
        <v>0</v>
      </c>
      <c r="AN157" s="55">
        <v>21</v>
      </c>
      <c r="AO157" s="55">
        <f>H157*0</f>
        <v>0</v>
      </c>
      <c r="AP157" s="55">
        <f>H157*(1-0)</f>
        <v>0</v>
      </c>
      <c r="AQ157" s="54" t="s">
        <v>157</v>
      </c>
      <c r="AV157" s="55">
        <f>ROUND(AW157+AX157,2)</f>
        <v>0</v>
      </c>
      <c r="AW157" s="55">
        <f>ROUND(G157*AO157,2)</f>
        <v>0</v>
      </c>
      <c r="AX157" s="55">
        <f>ROUND(G157*AP157,2)</f>
        <v>0</v>
      </c>
      <c r="AY157" s="54" t="s">
        <v>271</v>
      </c>
      <c r="AZ157" s="54" t="s">
        <v>537</v>
      </c>
      <c r="BA157" s="75" t="s">
        <v>499</v>
      </c>
      <c r="BC157" s="55">
        <f>AW157+AX157</f>
        <v>0</v>
      </c>
      <c r="BD157" s="55">
        <f>H157/(100-BE157)*100</f>
        <v>0</v>
      </c>
      <c r="BE157" s="55">
        <v>0</v>
      </c>
      <c r="BF157" s="55">
        <f>O157</f>
        <v>0.21</v>
      </c>
      <c r="BH157" s="55">
        <f>G157*AO157</f>
        <v>0</v>
      </c>
      <c r="BI157" s="55">
        <f>G157*AP157</f>
        <v>0</v>
      </c>
      <c r="BJ157" s="55">
        <f>G157*H157</f>
        <v>0</v>
      </c>
      <c r="BK157" s="54" t="s">
        <v>161</v>
      </c>
      <c r="BL157" s="55">
        <v>767</v>
      </c>
      <c r="BW157" s="55">
        <f>I157</f>
        <v>21</v>
      </c>
      <c r="BX157" s="16" t="s">
        <v>536</v>
      </c>
    </row>
    <row r="158" spans="1:76" ht="15" customHeight="1" x14ac:dyDescent="0.3">
      <c r="A158" s="88"/>
      <c r="B158" s="89" t="s">
        <v>108</v>
      </c>
      <c r="C158" s="89" t="s">
        <v>324</v>
      </c>
      <c r="D158" s="198" t="s">
        <v>325</v>
      </c>
      <c r="E158" s="198"/>
      <c r="F158" s="88" t="s">
        <v>96</v>
      </c>
      <c r="G158" s="90" t="s">
        <v>96</v>
      </c>
      <c r="H158" s="88"/>
      <c r="I158" s="88" t="s">
        <v>96</v>
      </c>
      <c r="J158" s="91">
        <f>SUM(J159:J161)</f>
        <v>0</v>
      </c>
      <c r="K158" s="91">
        <f>SUM(K159:K161)</f>
        <v>0</v>
      </c>
      <c r="L158" s="91">
        <f>SUM(L159:L161)</f>
        <v>0</v>
      </c>
      <c r="M158" s="91">
        <f>SUM(M159:M161)</f>
        <v>0</v>
      </c>
      <c r="N158" s="92"/>
      <c r="O158" s="93">
        <f>SUM(O159:O161)</f>
        <v>167.32139608</v>
      </c>
      <c r="P158" s="92"/>
      <c r="AI158" s="75" t="s">
        <v>108</v>
      </c>
      <c r="AS158" s="68">
        <f>SUM(AJ159:AJ161)</f>
        <v>0</v>
      </c>
      <c r="AT158" s="68">
        <f>SUM(AK159:AK161)</f>
        <v>0</v>
      </c>
      <c r="AU158" s="68">
        <f>SUM(AL159:AL161)</f>
        <v>0</v>
      </c>
    </row>
    <row r="159" spans="1:76" ht="15" customHeight="1" x14ac:dyDescent="0.3">
      <c r="A159" s="94" t="s">
        <v>538</v>
      </c>
      <c r="B159" s="94" t="s">
        <v>108</v>
      </c>
      <c r="C159" s="94" t="s">
        <v>539</v>
      </c>
      <c r="D159" s="199" t="s">
        <v>540</v>
      </c>
      <c r="E159" s="199"/>
      <c r="F159" s="94" t="s">
        <v>366</v>
      </c>
      <c r="G159" s="96">
        <v>12.04</v>
      </c>
      <c r="H159" s="97"/>
      <c r="I159" s="98">
        <v>21</v>
      </c>
      <c r="J159" s="97">
        <f>ROUND(G159*AO159,2)</f>
        <v>0</v>
      </c>
      <c r="K159" s="97">
        <f>ROUND(G159*AP159,2)</f>
        <v>0</v>
      </c>
      <c r="L159" s="97">
        <f>ROUND(G159*H159,2)</f>
        <v>0</v>
      </c>
      <c r="M159" s="97">
        <f>L159*(1+BW159/100)</f>
        <v>0</v>
      </c>
      <c r="N159" s="97">
        <v>2.5</v>
      </c>
      <c r="O159" s="96">
        <f>G159*N159</f>
        <v>30.099999999999998</v>
      </c>
      <c r="P159" s="99" t="s">
        <v>156</v>
      </c>
      <c r="Z159" s="55">
        <f>ROUND(IF(AQ159="5",BJ159,0),2)</f>
        <v>0</v>
      </c>
      <c r="AB159" s="55">
        <f>ROUND(IF(AQ159="1",BH159,0),2)</f>
        <v>0</v>
      </c>
      <c r="AC159" s="55">
        <f>ROUND(IF(AQ159="1",BI159,0),2)</f>
        <v>0</v>
      </c>
      <c r="AD159" s="55">
        <f>ROUND(IF(AQ159="7",BH159,0),2)</f>
        <v>0</v>
      </c>
      <c r="AE159" s="55">
        <f>ROUND(IF(AQ159="7",BI159,0),2)</f>
        <v>0</v>
      </c>
      <c r="AF159" s="55">
        <f>ROUND(IF(AQ159="2",BH159,0),2)</f>
        <v>0</v>
      </c>
      <c r="AG159" s="55">
        <f>ROUND(IF(AQ159="2",BI159,0),2)</f>
        <v>0</v>
      </c>
      <c r="AH159" s="55">
        <f>ROUND(IF(AQ159="0",BJ159,0),2)</f>
        <v>0</v>
      </c>
      <c r="AI159" s="75" t="s">
        <v>108</v>
      </c>
      <c r="AJ159" s="55">
        <f>IF(AN159=0,L159,0)</f>
        <v>0</v>
      </c>
      <c r="AK159" s="55">
        <f>IF(AN159=12,L159,0)</f>
        <v>0</v>
      </c>
      <c r="AL159" s="55">
        <f>IF(AN159=21,L159,0)</f>
        <v>0</v>
      </c>
      <c r="AN159" s="55">
        <v>21</v>
      </c>
      <c r="AO159" s="55">
        <f>H159*0</f>
        <v>0</v>
      </c>
      <c r="AP159" s="55">
        <f>H159*(1-0)</f>
        <v>0</v>
      </c>
      <c r="AQ159" s="54" t="s">
        <v>152</v>
      </c>
      <c r="AV159" s="55">
        <f>ROUND(AW159+AX159,2)</f>
        <v>0</v>
      </c>
      <c r="AW159" s="55">
        <f>ROUND(G159*AO159,2)</f>
        <v>0</v>
      </c>
      <c r="AX159" s="55">
        <f>ROUND(G159*AP159,2)</f>
        <v>0</v>
      </c>
      <c r="AY159" s="54" t="s">
        <v>329</v>
      </c>
      <c r="AZ159" s="54" t="s">
        <v>541</v>
      </c>
      <c r="BA159" s="75" t="s">
        <v>499</v>
      </c>
      <c r="BC159" s="55">
        <f>AW159+AX159</f>
        <v>0</v>
      </c>
      <c r="BD159" s="55">
        <f>H159/(100-BE159)*100</f>
        <v>0</v>
      </c>
      <c r="BE159" s="55">
        <v>0</v>
      </c>
      <c r="BF159" s="55">
        <f>O159</f>
        <v>30.099999999999998</v>
      </c>
      <c r="BH159" s="55">
        <f>G159*AO159</f>
        <v>0</v>
      </c>
      <c r="BI159" s="55">
        <f>G159*AP159</f>
        <v>0</v>
      </c>
      <c r="BJ159" s="55">
        <f>G159*H159</f>
        <v>0</v>
      </c>
      <c r="BK159" s="54" t="s">
        <v>161</v>
      </c>
      <c r="BL159" s="55">
        <v>96</v>
      </c>
      <c r="BW159" s="55">
        <f>I159</f>
        <v>21</v>
      </c>
      <c r="BX159" s="16" t="s">
        <v>540</v>
      </c>
    </row>
    <row r="160" spans="1:76" ht="15" customHeight="1" x14ac:dyDescent="0.3">
      <c r="A160" s="94" t="s">
        <v>542</v>
      </c>
      <c r="B160" s="94" t="s">
        <v>108</v>
      </c>
      <c r="C160" s="94" t="s">
        <v>543</v>
      </c>
      <c r="D160" s="199" t="s">
        <v>544</v>
      </c>
      <c r="E160" s="199"/>
      <c r="F160" s="94" t="s">
        <v>366</v>
      </c>
      <c r="G160" s="96">
        <v>23.64</v>
      </c>
      <c r="H160" s="97"/>
      <c r="I160" s="98">
        <v>21</v>
      </c>
      <c r="J160" s="97">
        <f>ROUND(G160*AO160,2)</f>
        <v>0</v>
      </c>
      <c r="K160" s="97">
        <f>ROUND(G160*AP160,2)</f>
        <v>0</v>
      </c>
      <c r="L160" s="97">
        <f>ROUND(G160*H160,2)</f>
        <v>0</v>
      </c>
      <c r="M160" s="97">
        <f>L160*(1+BW160/100)</f>
        <v>0</v>
      </c>
      <c r="N160" s="97">
        <v>2.2713299999999998</v>
      </c>
      <c r="O160" s="96">
        <f>G160*N160</f>
        <v>53.6942412</v>
      </c>
      <c r="P160" s="99" t="s">
        <v>156</v>
      </c>
      <c r="Z160" s="55">
        <f>ROUND(IF(AQ160="5",BJ160,0),2)</f>
        <v>0</v>
      </c>
      <c r="AB160" s="55">
        <f>ROUND(IF(AQ160="1",BH160,0),2)</f>
        <v>0</v>
      </c>
      <c r="AC160" s="55">
        <f>ROUND(IF(AQ160="1",BI160,0),2)</f>
        <v>0</v>
      </c>
      <c r="AD160" s="55">
        <f>ROUND(IF(AQ160="7",BH160,0),2)</f>
        <v>0</v>
      </c>
      <c r="AE160" s="55">
        <f>ROUND(IF(AQ160="7",BI160,0),2)</f>
        <v>0</v>
      </c>
      <c r="AF160" s="55">
        <f>ROUND(IF(AQ160="2",BH160,0),2)</f>
        <v>0</v>
      </c>
      <c r="AG160" s="55">
        <f>ROUND(IF(AQ160="2",BI160,0),2)</f>
        <v>0</v>
      </c>
      <c r="AH160" s="55">
        <f>ROUND(IF(AQ160="0",BJ160,0),2)</f>
        <v>0</v>
      </c>
      <c r="AI160" s="75" t="s">
        <v>108</v>
      </c>
      <c r="AJ160" s="55">
        <f>IF(AN160=0,L160,0)</f>
        <v>0</v>
      </c>
      <c r="AK160" s="55">
        <f>IF(AN160=12,L160,0)</f>
        <v>0</v>
      </c>
      <c r="AL160" s="55">
        <f>IF(AN160=21,L160,0)</f>
        <v>0</v>
      </c>
      <c r="AN160" s="55">
        <v>21</v>
      </c>
      <c r="AO160" s="55">
        <f>H160*0.03216886</f>
        <v>0</v>
      </c>
      <c r="AP160" s="55">
        <f>H160*(1-0.03216886)</f>
        <v>0</v>
      </c>
      <c r="AQ160" s="54" t="s">
        <v>152</v>
      </c>
      <c r="AV160" s="55">
        <f>ROUND(AW160+AX160,2)</f>
        <v>0</v>
      </c>
      <c r="AW160" s="55">
        <f>ROUND(G160*AO160,2)</f>
        <v>0</v>
      </c>
      <c r="AX160" s="55">
        <f>ROUND(G160*AP160,2)</f>
        <v>0</v>
      </c>
      <c r="AY160" s="54" t="s">
        <v>329</v>
      </c>
      <c r="AZ160" s="54" t="s">
        <v>541</v>
      </c>
      <c r="BA160" s="75" t="s">
        <v>499</v>
      </c>
      <c r="BC160" s="55">
        <f>AW160+AX160</f>
        <v>0</v>
      </c>
      <c r="BD160" s="55">
        <f>H160/(100-BE160)*100</f>
        <v>0</v>
      </c>
      <c r="BE160" s="55">
        <v>0</v>
      </c>
      <c r="BF160" s="55">
        <f>O160</f>
        <v>53.6942412</v>
      </c>
      <c r="BH160" s="55">
        <f>G160*AO160</f>
        <v>0</v>
      </c>
      <c r="BI160" s="55">
        <f>G160*AP160</f>
        <v>0</v>
      </c>
      <c r="BJ160" s="55">
        <f>G160*H160</f>
        <v>0</v>
      </c>
      <c r="BK160" s="54" t="s">
        <v>161</v>
      </c>
      <c r="BL160" s="55">
        <v>96</v>
      </c>
      <c r="BW160" s="55">
        <f>I160</f>
        <v>21</v>
      </c>
      <c r="BX160" s="16" t="s">
        <v>544</v>
      </c>
    </row>
    <row r="161" spans="1:76" ht="23.85" customHeight="1" x14ac:dyDescent="0.3">
      <c r="A161" s="94" t="s">
        <v>545</v>
      </c>
      <c r="B161" s="94" t="s">
        <v>108</v>
      </c>
      <c r="C161" s="94" t="s">
        <v>546</v>
      </c>
      <c r="D161" s="199" t="s">
        <v>547</v>
      </c>
      <c r="E161" s="199"/>
      <c r="F161" s="94" t="s">
        <v>366</v>
      </c>
      <c r="G161" s="96">
        <v>46.371000000000002</v>
      </c>
      <c r="H161" s="97"/>
      <c r="I161" s="98">
        <v>21</v>
      </c>
      <c r="J161" s="97">
        <f>ROUND(G161*AO161,2)</f>
        <v>0</v>
      </c>
      <c r="K161" s="97">
        <f>ROUND(G161*AP161,2)</f>
        <v>0</v>
      </c>
      <c r="L161" s="97">
        <f>ROUND(G161*H161,2)</f>
        <v>0</v>
      </c>
      <c r="M161" s="97">
        <f>L161*(1+BW161/100)</f>
        <v>0</v>
      </c>
      <c r="N161" s="97">
        <v>1.80128</v>
      </c>
      <c r="O161" s="96">
        <f>G161*N161</f>
        <v>83.527154879999998</v>
      </c>
      <c r="P161" s="99" t="s">
        <v>156</v>
      </c>
      <c r="Z161" s="55">
        <f>ROUND(IF(AQ161="5",BJ161,0),2)</f>
        <v>0</v>
      </c>
      <c r="AB161" s="55">
        <f>ROUND(IF(AQ161="1",BH161,0),2)</f>
        <v>0</v>
      </c>
      <c r="AC161" s="55">
        <f>ROUND(IF(AQ161="1",BI161,0),2)</f>
        <v>0</v>
      </c>
      <c r="AD161" s="55">
        <f>ROUND(IF(AQ161="7",BH161,0),2)</f>
        <v>0</v>
      </c>
      <c r="AE161" s="55">
        <f>ROUND(IF(AQ161="7",BI161,0),2)</f>
        <v>0</v>
      </c>
      <c r="AF161" s="55">
        <f>ROUND(IF(AQ161="2",BH161,0),2)</f>
        <v>0</v>
      </c>
      <c r="AG161" s="55">
        <f>ROUND(IF(AQ161="2",BI161,0),2)</f>
        <v>0</v>
      </c>
      <c r="AH161" s="55">
        <f>ROUND(IF(AQ161="0",BJ161,0),2)</f>
        <v>0</v>
      </c>
      <c r="AI161" s="75" t="s">
        <v>108</v>
      </c>
      <c r="AJ161" s="55">
        <f>IF(AN161=0,L161,0)</f>
        <v>0</v>
      </c>
      <c r="AK161" s="55">
        <f>IF(AN161=12,L161,0)</f>
        <v>0</v>
      </c>
      <c r="AL161" s="55">
        <f>IF(AN161=21,L161,0)</f>
        <v>0</v>
      </c>
      <c r="AN161" s="55">
        <v>21</v>
      </c>
      <c r="AO161" s="55">
        <f>H161*0.03220171</f>
        <v>0</v>
      </c>
      <c r="AP161" s="55">
        <f>H161*(1-0.03220171)</f>
        <v>0</v>
      </c>
      <c r="AQ161" s="54" t="s">
        <v>152</v>
      </c>
      <c r="AV161" s="55">
        <f>ROUND(AW161+AX161,2)</f>
        <v>0</v>
      </c>
      <c r="AW161" s="55">
        <f>ROUND(G161*AO161,2)</f>
        <v>0</v>
      </c>
      <c r="AX161" s="55">
        <f>ROUND(G161*AP161,2)</f>
        <v>0</v>
      </c>
      <c r="AY161" s="54" t="s">
        <v>329</v>
      </c>
      <c r="AZ161" s="54" t="s">
        <v>541</v>
      </c>
      <c r="BA161" s="75" t="s">
        <v>499</v>
      </c>
      <c r="BC161" s="55">
        <f>AW161+AX161</f>
        <v>0</v>
      </c>
      <c r="BD161" s="55">
        <f>H161/(100-BE161)*100</f>
        <v>0</v>
      </c>
      <c r="BE161" s="55">
        <v>0</v>
      </c>
      <c r="BF161" s="55">
        <f>O161</f>
        <v>83.527154879999998</v>
      </c>
      <c r="BH161" s="55">
        <f>G161*AO161</f>
        <v>0</v>
      </c>
      <c r="BI161" s="55">
        <f>G161*AP161</f>
        <v>0</v>
      </c>
      <c r="BJ161" s="55">
        <f>G161*H161</f>
        <v>0</v>
      </c>
      <c r="BK161" s="54" t="s">
        <v>161</v>
      </c>
      <c r="BL161" s="55">
        <v>96</v>
      </c>
      <c r="BW161" s="55">
        <f>I161</f>
        <v>21</v>
      </c>
      <c r="BX161" s="16" t="s">
        <v>547</v>
      </c>
    </row>
    <row r="162" spans="1:76" ht="15" customHeight="1" x14ac:dyDescent="0.3">
      <c r="A162" s="88"/>
      <c r="B162" s="89" t="s">
        <v>108</v>
      </c>
      <c r="C162" s="89" t="s">
        <v>548</v>
      </c>
      <c r="D162" s="198" t="s">
        <v>549</v>
      </c>
      <c r="E162" s="198"/>
      <c r="F162" s="88" t="s">
        <v>96</v>
      </c>
      <c r="G162" s="90" t="s">
        <v>96</v>
      </c>
      <c r="H162" s="88"/>
      <c r="I162" s="88" t="s">
        <v>96</v>
      </c>
      <c r="J162" s="91">
        <f>SUM(J163:J164)</f>
        <v>0</v>
      </c>
      <c r="K162" s="91">
        <f>SUM(K163:K164)</f>
        <v>0</v>
      </c>
      <c r="L162" s="91">
        <f>SUM(L163:L164)</f>
        <v>0</v>
      </c>
      <c r="M162" s="91">
        <f>SUM(M163:M164)</f>
        <v>0</v>
      </c>
      <c r="N162" s="92"/>
      <c r="O162" s="93">
        <f>SUM(O163:O164)</f>
        <v>0</v>
      </c>
      <c r="P162" s="92"/>
      <c r="AI162" s="75" t="s">
        <v>108</v>
      </c>
      <c r="AS162" s="68">
        <f>SUM(AJ163:AJ164)</f>
        <v>0</v>
      </c>
      <c r="AT162" s="68">
        <f>SUM(AK163:AK164)</f>
        <v>0</v>
      </c>
      <c r="AU162" s="68">
        <f>SUM(AL163:AL164)</f>
        <v>0</v>
      </c>
    </row>
    <row r="163" spans="1:76" ht="15" customHeight="1" x14ac:dyDescent="0.3">
      <c r="A163" s="94" t="s">
        <v>550</v>
      </c>
      <c r="B163" s="94" t="s">
        <v>108</v>
      </c>
      <c r="C163" s="94" t="s">
        <v>551</v>
      </c>
      <c r="D163" s="199" t="s">
        <v>552</v>
      </c>
      <c r="E163" s="199"/>
      <c r="F163" s="94" t="s">
        <v>366</v>
      </c>
      <c r="G163" s="96">
        <v>1.5</v>
      </c>
      <c r="H163" s="97"/>
      <c r="I163" s="98">
        <v>21</v>
      </c>
      <c r="J163" s="97">
        <f>ROUND(G163*AO163,2)</f>
        <v>0</v>
      </c>
      <c r="K163" s="97">
        <f>ROUND(G163*AP163,2)</f>
        <v>0</v>
      </c>
      <c r="L163" s="97">
        <f>ROUND(G163*H163,2)</f>
        <v>0</v>
      </c>
      <c r="M163" s="97">
        <f>L163*(1+BW163/100)</f>
        <v>0</v>
      </c>
      <c r="N163" s="97">
        <v>0</v>
      </c>
      <c r="O163" s="96">
        <f>G163*N163</f>
        <v>0</v>
      </c>
      <c r="P163" s="99" t="s">
        <v>156</v>
      </c>
      <c r="Z163" s="55">
        <f>ROUND(IF(AQ163="5",BJ163,0),2)</f>
        <v>0</v>
      </c>
      <c r="AB163" s="55">
        <f>ROUND(IF(AQ163="1",BH163,0),2)</f>
        <v>0</v>
      </c>
      <c r="AC163" s="55">
        <f>ROUND(IF(AQ163="1",BI163,0),2)</f>
        <v>0</v>
      </c>
      <c r="AD163" s="55">
        <f>ROUND(IF(AQ163="7",BH163,0),2)</f>
        <v>0</v>
      </c>
      <c r="AE163" s="55">
        <f>ROUND(IF(AQ163="7",BI163,0),2)</f>
        <v>0</v>
      </c>
      <c r="AF163" s="55">
        <f>ROUND(IF(AQ163="2",BH163,0),2)</f>
        <v>0</v>
      </c>
      <c r="AG163" s="55">
        <f>ROUND(IF(AQ163="2",BI163,0),2)</f>
        <v>0</v>
      </c>
      <c r="AH163" s="55">
        <f>ROUND(IF(AQ163="0",BJ163,0),2)</f>
        <v>0</v>
      </c>
      <c r="AI163" s="75" t="s">
        <v>108</v>
      </c>
      <c r="AJ163" s="55">
        <f>IF(AN163=0,L163,0)</f>
        <v>0</v>
      </c>
      <c r="AK163" s="55">
        <f>IF(AN163=12,L163,0)</f>
        <v>0</v>
      </c>
      <c r="AL163" s="55">
        <f>IF(AN163=21,L163,0)</f>
        <v>0</v>
      </c>
      <c r="AN163" s="55">
        <v>21</v>
      </c>
      <c r="AO163" s="55">
        <f>H163*0</f>
        <v>0</v>
      </c>
      <c r="AP163" s="55">
        <f>H163*(1-0)</f>
        <v>0</v>
      </c>
      <c r="AQ163" s="54" t="s">
        <v>162</v>
      </c>
      <c r="AV163" s="55">
        <f>ROUND(AW163+AX163,2)</f>
        <v>0</v>
      </c>
      <c r="AW163" s="55">
        <f>ROUND(G163*AO163,2)</f>
        <v>0</v>
      </c>
      <c r="AX163" s="55">
        <f>ROUND(G163*AP163,2)</f>
        <v>0</v>
      </c>
      <c r="AY163" s="54" t="s">
        <v>553</v>
      </c>
      <c r="AZ163" s="54" t="s">
        <v>541</v>
      </c>
      <c r="BA163" s="75" t="s">
        <v>499</v>
      </c>
      <c r="BC163" s="55">
        <f>AW163+AX163</f>
        <v>0</v>
      </c>
      <c r="BD163" s="55">
        <f>H163/(100-BE163)*100</f>
        <v>0</v>
      </c>
      <c r="BE163" s="55">
        <v>0</v>
      </c>
      <c r="BF163" s="55">
        <f>O163</f>
        <v>0</v>
      </c>
      <c r="BH163" s="55">
        <f>G163*AO163</f>
        <v>0</v>
      </c>
      <c r="BI163" s="55">
        <f>G163*AP163</f>
        <v>0</v>
      </c>
      <c r="BJ163" s="55">
        <f>G163*H163</f>
        <v>0</v>
      </c>
      <c r="BK163" s="54" t="s">
        <v>161</v>
      </c>
      <c r="BL163" s="55"/>
      <c r="BW163" s="55">
        <f>I163</f>
        <v>21</v>
      </c>
      <c r="BX163" s="16" t="s">
        <v>552</v>
      </c>
    </row>
    <row r="164" spans="1:76" ht="15" customHeight="1" x14ac:dyDescent="0.3">
      <c r="A164" s="94" t="s">
        <v>554</v>
      </c>
      <c r="B164" s="94" t="s">
        <v>108</v>
      </c>
      <c r="C164" s="94" t="s">
        <v>555</v>
      </c>
      <c r="D164" s="199" t="s">
        <v>556</v>
      </c>
      <c r="E164" s="199"/>
      <c r="F164" s="94" t="s">
        <v>366</v>
      </c>
      <c r="G164" s="96">
        <v>12</v>
      </c>
      <c r="H164" s="97"/>
      <c r="I164" s="98">
        <v>21</v>
      </c>
      <c r="J164" s="97">
        <f>ROUND(G164*AO164,2)</f>
        <v>0</v>
      </c>
      <c r="K164" s="97">
        <f>ROUND(G164*AP164,2)</f>
        <v>0</v>
      </c>
      <c r="L164" s="97">
        <f>ROUND(G164*H164,2)</f>
        <v>0</v>
      </c>
      <c r="M164" s="97">
        <f>L164*(1+BW164/100)</f>
        <v>0</v>
      </c>
      <c r="N164" s="97">
        <v>0</v>
      </c>
      <c r="O164" s="96">
        <f>G164*N164</f>
        <v>0</v>
      </c>
      <c r="P164" s="99" t="s">
        <v>156</v>
      </c>
      <c r="Z164" s="55">
        <f>ROUND(IF(AQ164="5",BJ164,0),2)</f>
        <v>0</v>
      </c>
      <c r="AB164" s="55">
        <f>ROUND(IF(AQ164="1",BH164,0),2)</f>
        <v>0</v>
      </c>
      <c r="AC164" s="55">
        <f>ROUND(IF(AQ164="1",BI164,0),2)</f>
        <v>0</v>
      </c>
      <c r="AD164" s="55">
        <f>ROUND(IF(AQ164="7",BH164,0),2)</f>
        <v>0</v>
      </c>
      <c r="AE164" s="55">
        <f>ROUND(IF(AQ164="7",BI164,0),2)</f>
        <v>0</v>
      </c>
      <c r="AF164" s="55">
        <f>ROUND(IF(AQ164="2",BH164,0),2)</f>
        <v>0</v>
      </c>
      <c r="AG164" s="55">
        <f>ROUND(IF(AQ164="2",BI164,0),2)</f>
        <v>0</v>
      </c>
      <c r="AH164" s="55">
        <f>ROUND(IF(AQ164="0",BJ164,0),2)</f>
        <v>0</v>
      </c>
      <c r="AI164" s="75" t="s">
        <v>108</v>
      </c>
      <c r="AJ164" s="55">
        <f>IF(AN164=0,L164,0)</f>
        <v>0</v>
      </c>
      <c r="AK164" s="55">
        <f>IF(AN164=12,L164,0)</f>
        <v>0</v>
      </c>
      <c r="AL164" s="55">
        <f>IF(AN164=21,L164,0)</f>
        <v>0</v>
      </c>
      <c r="AN164" s="55">
        <v>21</v>
      </c>
      <c r="AO164" s="55">
        <f>H164*0</f>
        <v>0</v>
      </c>
      <c r="AP164" s="55">
        <f>H164*(1-0)</f>
        <v>0</v>
      </c>
      <c r="AQ164" s="54" t="s">
        <v>162</v>
      </c>
      <c r="AV164" s="55">
        <f>ROUND(AW164+AX164,2)</f>
        <v>0</v>
      </c>
      <c r="AW164" s="55">
        <f>ROUND(G164*AO164,2)</f>
        <v>0</v>
      </c>
      <c r="AX164" s="55">
        <f>ROUND(G164*AP164,2)</f>
        <v>0</v>
      </c>
      <c r="AY164" s="54" t="s">
        <v>553</v>
      </c>
      <c r="AZ164" s="54" t="s">
        <v>541</v>
      </c>
      <c r="BA164" s="75" t="s">
        <v>499</v>
      </c>
      <c r="BC164" s="55">
        <f>AW164+AX164</f>
        <v>0</v>
      </c>
      <c r="BD164" s="55">
        <f>H164/(100-BE164)*100</f>
        <v>0</v>
      </c>
      <c r="BE164" s="55">
        <v>0</v>
      </c>
      <c r="BF164" s="55">
        <f>O164</f>
        <v>0</v>
      </c>
      <c r="BH164" s="55">
        <f>G164*AO164</f>
        <v>0</v>
      </c>
      <c r="BI164" s="55">
        <f>G164*AP164</f>
        <v>0</v>
      </c>
      <c r="BJ164" s="55">
        <f>G164*H164</f>
        <v>0</v>
      </c>
      <c r="BK164" s="54" t="s">
        <v>161</v>
      </c>
      <c r="BL164" s="55"/>
      <c r="BW164" s="55">
        <f>I164</f>
        <v>21</v>
      </c>
      <c r="BX164" s="16" t="s">
        <v>556</v>
      </c>
    </row>
    <row r="165" spans="1:76" ht="15" customHeight="1" x14ac:dyDescent="0.3">
      <c r="A165" s="88"/>
      <c r="B165" s="89" t="s">
        <v>108</v>
      </c>
      <c r="C165" s="89" t="s">
        <v>398</v>
      </c>
      <c r="D165" s="198" t="s">
        <v>399</v>
      </c>
      <c r="E165" s="198"/>
      <c r="F165" s="88" t="s">
        <v>96</v>
      </c>
      <c r="G165" s="90" t="s">
        <v>96</v>
      </c>
      <c r="H165" s="88"/>
      <c r="I165" s="88" t="s">
        <v>96</v>
      </c>
      <c r="J165" s="91">
        <f>SUM(J166:J168)</f>
        <v>0</v>
      </c>
      <c r="K165" s="91">
        <f>SUM(K166:K168)</f>
        <v>0</v>
      </c>
      <c r="L165" s="91">
        <f>SUM(L166:L168)</f>
        <v>0</v>
      </c>
      <c r="M165" s="91">
        <f>SUM(M166:M168)</f>
        <v>0</v>
      </c>
      <c r="N165" s="92"/>
      <c r="O165" s="93">
        <f>SUM(O166:O168)</f>
        <v>0</v>
      </c>
      <c r="P165" s="92"/>
      <c r="AI165" s="75" t="s">
        <v>108</v>
      </c>
      <c r="AS165" s="68">
        <f>SUM(AJ166:AJ168)</f>
        <v>0</v>
      </c>
      <c r="AT165" s="68">
        <f>SUM(AK166:AK168)</f>
        <v>0</v>
      </c>
      <c r="AU165" s="68">
        <f>SUM(AL166:AL168)</f>
        <v>0</v>
      </c>
    </row>
    <row r="166" spans="1:76" ht="15" customHeight="1" x14ac:dyDescent="0.3">
      <c r="A166" s="94" t="s">
        <v>557</v>
      </c>
      <c r="B166" s="94" t="s">
        <v>108</v>
      </c>
      <c r="C166" s="94" t="s">
        <v>453</v>
      </c>
      <c r="D166" s="199" t="s">
        <v>454</v>
      </c>
      <c r="E166" s="199"/>
      <c r="F166" s="94" t="s">
        <v>323</v>
      </c>
      <c r="G166" s="96">
        <v>167.53100000000001</v>
      </c>
      <c r="H166" s="97"/>
      <c r="I166" s="98">
        <v>21</v>
      </c>
      <c r="J166" s="97">
        <f>ROUND(G166*AO166,2)</f>
        <v>0</v>
      </c>
      <c r="K166" s="97">
        <f>ROUND(G166*AP166,2)</f>
        <v>0</v>
      </c>
      <c r="L166" s="97">
        <f>ROUND(G166*H166,2)</f>
        <v>0</v>
      </c>
      <c r="M166" s="97">
        <f>L166*(1+BW166/100)</f>
        <v>0</v>
      </c>
      <c r="N166" s="97">
        <v>0</v>
      </c>
      <c r="O166" s="96">
        <f>G166*N166</f>
        <v>0</v>
      </c>
      <c r="P166" s="99" t="s">
        <v>156</v>
      </c>
      <c r="Z166" s="55">
        <f>ROUND(IF(AQ166="5",BJ166,0),2)</f>
        <v>0</v>
      </c>
      <c r="AB166" s="55">
        <f>ROUND(IF(AQ166="1",BH166,0),2)</f>
        <v>0</v>
      </c>
      <c r="AC166" s="55">
        <f>ROUND(IF(AQ166="1",BI166,0),2)</f>
        <v>0</v>
      </c>
      <c r="AD166" s="55">
        <f>ROUND(IF(AQ166="7",BH166,0),2)</f>
        <v>0</v>
      </c>
      <c r="AE166" s="55">
        <f>ROUND(IF(AQ166="7",BI166,0),2)</f>
        <v>0</v>
      </c>
      <c r="AF166" s="55">
        <f>ROUND(IF(AQ166="2",BH166,0),2)</f>
        <v>0</v>
      </c>
      <c r="AG166" s="55">
        <f>ROUND(IF(AQ166="2",BI166,0),2)</f>
        <v>0</v>
      </c>
      <c r="AH166" s="55">
        <f>ROUND(IF(AQ166="0",BJ166,0),2)</f>
        <v>0</v>
      </c>
      <c r="AI166" s="75" t="s">
        <v>108</v>
      </c>
      <c r="AJ166" s="55">
        <f>IF(AN166=0,L166,0)</f>
        <v>0</v>
      </c>
      <c r="AK166" s="55">
        <f>IF(AN166=12,L166,0)</f>
        <v>0</v>
      </c>
      <c r="AL166" s="55">
        <f>IF(AN166=21,L166,0)</f>
        <v>0</v>
      </c>
      <c r="AN166" s="55">
        <v>21</v>
      </c>
      <c r="AO166" s="55">
        <f>H166*0</f>
        <v>0</v>
      </c>
      <c r="AP166" s="55">
        <f>H166*(1-0)</f>
        <v>0</v>
      </c>
      <c r="AQ166" s="54" t="s">
        <v>179</v>
      </c>
      <c r="AV166" s="55">
        <f>ROUND(AW166+AX166,2)</f>
        <v>0</v>
      </c>
      <c r="AW166" s="55">
        <f>ROUND(G166*AO166,2)</f>
        <v>0</v>
      </c>
      <c r="AX166" s="55">
        <f>ROUND(G166*AP166,2)</f>
        <v>0</v>
      </c>
      <c r="AY166" s="54" t="s">
        <v>403</v>
      </c>
      <c r="AZ166" s="54" t="s">
        <v>541</v>
      </c>
      <c r="BA166" s="75" t="s">
        <v>499</v>
      </c>
      <c r="BC166" s="55">
        <f>AW166+AX166</f>
        <v>0</v>
      </c>
      <c r="BD166" s="55">
        <f>H166/(100-BE166)*100</f>
        <v>0</v>
      </c>
      <c r="BE166" s="55">
        <v>0</v>
      </c>
      <c r="BF166" s="55">
        <f>O166</f>
        <v>0</v>
      </c>
      <c r="BH166" s="55">
        <f>G166*AO166</f>
        <v>0</v>
      </c>
      <c r="BI166" s="55">
        <f>G166*AP166</f>
        <v>0</v>
      </c>
      <c r="BJ166" s="55">
        <f>G166*H166</f>
        <v>0</v>
      </c>
      <c r="BK166" s="54" t="s">
        <v>161</v>
      </c>
      <c r="BL166" s="55"/>
      <c r="BW166" s="55">
        <f>I166</f>
        <v>21</v>
      </c>
      <c r="BX166" s="16" t="s">
        <v>454</v>
      </c>
    </row>
    <row r="167" spans="1:76" ht="15" customHeight="1" x14ac:dyDescent="0.3">
      <c r="A167" s="94" t="s">
        <v>558</v>
      </c>
      <c r="B167" s="94" t="s">
        <v>108</v>
      </c>
      <c r="C167" s="94" t="s">
        <v>456</v>
      </c>
      <c r="D167" s="199" t="s">
        <v>457</v>
      </c>
      <c r="E167" s="199"/>
      <c r="F167" s="94" t="s">
        <v>323</v>
      </c>
      <c r="G167" s="96">
        <v>1340.248</v>
      </c>
      <c r="H167" s="97"/>
      <c r="I167" s="98">
        <v>21</v>
      </c>
      <c r="J167" s="97">
        <f>ROUND(G167*AO167,2)</f>
        <v>0</v>
      </c>
      <c r="K167" s="97">
        <f>ROUND(G167*AP167,2)</f>
        <v>0</v>
      </c>
      <c r="L167" s="97">
        <f>ROUND(G167*H167,2)</f>
        <v>0</v>
      </c>
      <c r="M167" s="97">
        <f>L167*(1+BW167/100)</f>
        <v>0</v>
      </c>
      <c r="N167" s="97">
        <v>0</v>
      </c>
      <c r="O167" s="96">
        <f>G167*N167</f>
        <v>0</v>
      </c>
      <c r="P167" s="99" t="s">
        <v>156</v>
      </c>
      <c r="Z167" s="55">
        <f>ROUND(IF(AQ167="5",BJ167,0),2)</f>
        <v>0</v>
      </c>
      <c r="AB167" s="55">
        <f>ROUND(IF(AQ167="1",BH167,0),2)</f>
        <v>0</v>
      </c>
      <c r="AC167" s="55">
        <f>ROUND(IF(AQ167="1",BI167,0),2)</f>
        <v>0</v>
      </c>
      <c r="AD167" s="55">
        <f>ROUND(IF(AQ167="7",BH167,0),2)</f>
        <v>0</v>
      </c>
      <c r="AE167" s="55">
        <f>ROUND(IF(AQ167="7",BI167,0),2)</f>
        <v>0</v>
      </c>
      <c r="AF167" s="55">
        <f>ROUND(IF(AQ167="2",BH167,0),2)</f>
        <v>0</v>
      </c>
      <c r="AG167" s="55">
        <f>ROUND(IF(AQ167="2",BI167,0),2)</f>
        <v>0</v>
      </c>
      <c r="AH167" s="55">
        <f>ROUND(IF(AQ167="0",BJ167,0),2)</f>
        <v>0</v>
      </c>
      <c r="AI167" s="75" t="s">
        <v>108</v>
      </c>
      <c r="AJ167" s="55">
        <f>IF(AN167=0,L167,0)</f>
        <v>0</v>
      </c>
      <c r="AK167" s="55">
        <f>IF(AN167=12,L167,0)</f>
        <v>0</v>
      </c>
      <c r="AL167" s="55">
        <f>IF(AN167=21,L167,0)</f>
        <v>0</v>
      </c>
      <c r="AN167" s="55">
        <v>21</v>
      </c>
      <c r="AO167" s="55">
        <f>H167*0</f>
        <v>0</v>
      </c>
      <c r="AP167" s="55">
        <f>H167*(1-0)</f>
        <v>0</v>
      </c>
      <c r="AQ167" s="54" t="s">
        <v>179</v>
      </c>
      <c r="AV167" s="55">
        <f>ROUND(AW167+AX167,2)</f>
        <v>0</v>
      </c>
      <c r="AW167" s="55">
        <f>ROUND(G167*AO167,2)</f>
        <v>0</v>
      </c>
      <c r="AX167" s="55">
        <f>ROUND(G167*AP167,2)</f>
        <v>0</v>
      </c>
      <c r="AY167" s="54" t="s">
        <v>403</v>
      </c>
      <c r="AZ167" s="54" t="s">
        <v>541</v>
      </c>
      <c r="BA167" s="75" t="s">
        <v>499</v>
      </c>
      <c r="BC167" s="55">
        <f>AW167+AX167</f>
        <v>0</v>
      </c>
      <c r="BD167" s="55">
        <f>H167/(100-BE167)*100</f>
        <v>0</v>
      </c>
      <c r="BE167" s="55">
        <v>0</v>
      </c>
      <c r="BF167" s="55">
        <f>O167</f>
        <v>0</v>
      </c>
      <c r="BH167" s="55">
        <f>G167*AO167</f>
        <v>0</v>
      </c>
      <c r="BI167" s="55">
        <f>G167*AP167</f>
        <v>0</v>
      </c>
      <c r="BJ167" s="55">
        <f>G167*H167</f>
        <v>0</v>
      </c>
      <c r="BK167" s="54" t="s">
        <v>161</v>
      </c>
      <c r="BL167" s="55"/>
      <c r="BW167" s="55">
        <f>I167</f>
        <v>21</v>
      </c>
      <c r="BX167" s="16" t="s">
        <v>457</v>
      </c>
    </row>
    <row r="168" spans="1:76" ht="23.85" customHeight="1" x14ac:dyDescent="0.3">
      <c r="A168" s="94" t="s">
        <v>559</v>
      </c>
      <c r="B168" s="94" t="s">
        <v>108</v>
      </c>
      <c r="C168" s="94" t="s">
        <v>401</v>
      </c>
      <c r="D168" s="199" t="s">
        <v>560</v>
      </c>
      <c r="E168" s="199"/>
      <c r="F168" s="94" t="s">
        <v>323</v>
      </c>
      <c r="G168" s="96">
        <v>167.321</v>
      </c>
      <c r="H168" s="97"/>
      <c r="I168" s="98">
        <v>21</v>
      </c>
      <c r="J168" s="97">
        <f>ROUND(G168*AO168,2)</f>
        <v>0</v>
      </c>
      <c r="K168" s="97">
        <f>ROUND(G168*AP168,2)</f>
        <v>0</v>
      </c>
      <c r="L168" s="97">
        <f>ROUND(G168*H168,2)</f>
        <v>0</v>
      </c>
      <c r="M168" s="97">
        <f>L168*(1+BW168/100)</f>
        <v>0</v>
      </c>
      <c r="N168" s="97">
        <v>0</v>
      </c>
      <c r="O168" s="96">
        <f>G168*N168</f>
        <v>0</v>
      </c>
      <c r="P168" s="99" t="s">
        <v>156</v>
      </c>
      <c r="Z168" s="55">
        <f>ROUND(IF(AQ168="5",BJ168,0),2)</f>
        <v>0</v>
      </c>
      <c r="AB168" s="55">
        <f>ROUND(IF(AQ168="1",BH168,0),2)</f>
        <v>0</v>
      </c>
      <c r="AC168" s="55">
        <f>ROUND(IF(AQ168="1",BI168,0),2)</f>
        <v>0</v>
      </c>
      <c r="AD168" s="55">
        <f>ROUND(IF(AQ168="7",BH168,0),2)</f>
        <v>0</v>
      </c>
      <c r="AE168" s="55">
        <f>ROUND(IF(AQ168="7",BI168,0),2)</f>
        <v>0</v>
      </c>
      <c r="AF168" s="55">
        <f>ROUND(IF(AQ168="2",BH168,0),2)</f>
        <v>0</v>
      </c>
      <c r="AG168" s="55">
        <f>ROUND(IF(AQ168="2",BI168,0),2)</f>
        <v>0</v>
      </c>
      <c r="AH168" s="55">
        <f>ROUND(IF(AQ168="0",BJ168,0),2)</f>
        <v>0</v>
      </c>
      <c r="AI168" s="75" t="s">
        <v>108</v>
      </c>
      <c r="AJ168" s="55">
        <f>IF(AN168=0,L168,0)</f>
        <v>0</v>
      </c>
      <c r="AK168" s="55">
        <f>IF(AN168=12,L168,0)</f>
        <v>0</v>
      </c>
      <c r="AL168" s="55">
        <f>IF(AN168=21,L168,0)</f>
        <v>0</v>
      </c>
      <c r="AN168" s="55">
        <v>21</v>
      </c>
      <c r="AO168" s="55">
        <f>H168*0</f>
        <v>0</v>
      </c>
      <c r="AP168" s="55">
        <f>H168*(1-0)</f>
        <v>0</v>
      </c>
      <c r="AQ168" s="54" t="s">
        <v>179</v>
      </c>
      <c r="AV168" s="55">
        <f>ROUND(AW168+AX168,2)</f>
        <v>0</v>
      </c>
      <c r="AW168" s="55">
        <f>ROUND(G168*AO168,2)</f>
        <v>0</v>
      </c>
      <c r="AX168" s="55">
        <f>ROUND(G168*AP168,2)</f>
        <v>0</v>
      </c>
      <c r="AY168" s="54" t="s">
        <v>403</v>
      </c>
      <c r="AZ168" s="54" t="s">
        <v>541</v>
      </c>
      <c r="BA168" s="75" t="s">
        <v>499</v>
      </c>
      <c r="BC168" s="55">
        <f>AW168+AX168</f>
        <v>0</v>
      </c>
      <c r="BD168" s="55">
        <f>H168/(100-BE168)*100</f>
        <v>0</v>
      </c>
      <c r="BE168" s="55">
        <v>0</v>
      </c>
      <c r="BF168" s="55">
        <f>O168</f>
        <v>0</v>
      </c>
      <c r="BH168" s="55">
        <f>G168*AO168</f>
        <v>0</v>
      </c>
      <c r="BI168" s="55">
        <f>G168*AP168</f>
        <v>0</v>
      </c>
      <c r="BJ168" s="55">
        <f>G168*H168</f>
        <v>0</v>
      </c>
      <c r="BK168" s="54" t="s">
        <v>161</v>
      </c>
      <c r="BL168" s="55"/>
      <c r="BW168" s="55">
        <f>I168</f>
        <v>21</v>
      </c>
      <c r="BX168" s="16" t="s">
        <v>560</v>
      </c>
    </row>
    <row r="169" spans="1:76" ht="19.8" customHeight="1" x14ac:dyDescent="0.3">
      <c r="A169" s="60"/>
      <c r="B169" s="119" t="s">
        <v>110</v>
      </c>
      <c r="C169" s="119"/>
      <c r="D169" s="203" t="s">
        <v>111</v>
      </c>
      <c r="E169" s="203"/>
      <c r="F169" s="60" t="s">
        <v>96</v>
      </c>
      <c r="G169" s="120" t="s">
        <v>96</v>
      </c>
      <c r="H169" s="60"/>
      <c r="I169" s="60" t="s">
        <v>96</v>
      </c>
      <c r="J169" s="121">
        <f>J170</f>
        <v>0</v>
      </c>
      <c r="K169" s="121">
        <f>K170</f>
        <v>0</v>
      </c>
      <c r="L169" s="121">
        <f>L170</f>
        <v>0</v>
      </c>
      <c r="M169" s="121">
        <f>M170</f>
        <v>0</v>
      </c>
      <c r="N169" s="122"/>
      <c r="O169" s="123">
        <f>O170</f>
        <v>0</v>
      </c>
      <c r="P169" s="122"/>
    </row>
    <row r="170" spans="1:76" ht="15" customHeight="1" x14ac:dyDescent="0.3">
      <c r="A170" s="88"/>
      <c r="B170" s="89" t="s">
        <v>110</v>
      </c>
      <c r="C170" s="89" t="s">
        <v>489</v>
      </c>
      <c r="D170" s="198" t="s">
        <v>561</v>
      </c>
      <c r="E170" s="198"/>
      <c r="F170" s="88" t="s">
        <v>96</v>
      </c>
      <c r="G170" s="90" t="s">
        <v>96</v>
      </c>
      <c r="H170" s="88"/>
      <c r="I170" s="88" t="s">
        <v>96</v>
      </c>
      <c r="J170" s="91">
        <f>SUM(J171:J176)</f>
        <v>0</v>
      </c>
      <c r="K170" s="91">
        <f>SUM(K171:K176)</f>
        <v>0</v>
      </c>
      <c r="L170" s="91">
        <f>SUM(L171:L176)</f>
        <v>0</v>
      </c>
      <c r="M170" s="91">
        <f>SUM(M171:M176)</f>
        <v>0</v>
      </c>
      <c r="N170" s="92"/>
      <c r="O170" s="93">
        <f>SUM(O171:O176)</f>
        <v>0</v>
      </c>
      <c r="P170" s="92"/>
      <c r="AI170" s="75" t="s">
        <v>110</v>
      </c>
      <c r="AS170" s="68">
        <f>SUM(AJ171:AJ176)</f>
        <v>0</v>
      </c>
      <c r="AT170" s="68">
        <f>SUM(AK171:AK176)</f>
        <v>0</v>
      </c>
      <c r="AU170" s="68">
        <f>SUM(AL171:AL176)</f>
        <v>0</v>
      </c>
    </row>
    <row r="171" spans="1:76" ht="23.85" customHeight="1" x14ac:dyDescent="0.3">
      <c r="A171" s="94" t="s">
        <v>562</v>
      </c>
      <c r="B171" s="94" t="s">
        <v>110</v>
      </c>
      <c r="C171" s="94" t="s">
        <v>563</v>
      </c>
      <c r="D171" s="199" t="s">
        <v>564</v>
      </c>
      <c r="E171" s="199"/>
      <c r="F171" s="94" t="s">
        <v>287</v>
      </c>
      <c r="G171" s="96">
        <v>16</v>
      </c>
      <c r="H171" s="97"/>
      <c r="I171" s="98">
        <v>21</v>
      </c>
      <c r="J171" s="97">
        <f t="shared" ref="J171:J176" si="138">ROUND(G171*AO171,2)</f>
        <v>0</v>
      </c>
      <c r="K171" s="97">
        <f t="shared" ref="K171:K176" si="139">ROUND(G171*AP171,2)</f>
        <v>0</v>
      </c>
      <c r="L171" s="97">
        <f t="shared" ref="L171:L176" si="140">ROUND(G171*H171,2)</f>
        <v>0</v>
      </c>
      <c r="M171" s="97">
        <f t="shared" ref="M171:M176" si="141">L171*(1+BW171/100)</f>
        <v>0</v>
      </c>
      <c r="N171" s="97">
        <v>0</v>
      </c>
      <c r="O171" s="96">
        <f t="shared" ref="O171:O176" si="142">G171*N171</f>
        <v>0</v>
      </c>
      <c r="P171" s="99" t="s">
        <v>156</v>
      </c>
      <c r="Z171" s="55">
        <f t="shared" ref="Z171:Z176" si="143">ROUND(IF(AQ171="5",BJ171,0),2)</f>
        <v>0</v>
      </c>
      <c r="AB171" s="55">
        <f t="shared" ref="AB171:AB176" si="144">ROUND(IF(AQ171="1",BH171,0),2)</f>
        <v>0</v>
      </c>
      <c r="AC171" s="55">
        <f t="shared" ref="AC171:AC176" si="145">ROUND(IF(AQ171="1",BI171,0),2)</f>
        <v>0</v>
      </c>
      <c r="AD171" s="55">
        <f t="shared" ref="AD171:AD176" si="146">ROUND(IF(AQ171="7",BH171,0),2)</f>
        <v>0</v>
      </c>
      <c r="AE171" s="55">
        <f t="shared" ref="AE171:AE176" si="147">ROUND(IF(AQ171="7",BI171,0),2)</f>
        <v>0</v>
      </c>
      <c r="AF171" s="55">
        <f t="shared" ref="AF171:AF176" si="148">ROUND(IF(AQ171="2",BH171,0),2)</f>
        <v>0</v>
      </c>
      <c r="AG171" s="55">
        <f t="shared" ref="AG171:AG176" si="149">ROUND(IF(AQ171="2",BI171,0),2)</f>
        <v>0</v>
      </c>
      <c r="AH171" s="55">
        <f t="shared" ref="AH171:AH176" si="150">ROUND(IF(AQ171="0",BJ171,0),2)</f>
        <v>0</v>
      </c>
      <c r="AI171" s="75" t="s">
        <v>110</v>
      </c>
      <c r="AJ171" s="55">
        <f t="shared" ref="AJ171:AJ176" si="151">IF(AN171=0,L171,0)</f>
        <v>0</v>
      </c>
      <c r="AK171" s="55">
        <f t="shared" ref="AK171:AK176" si="152">IF(AN171=12,L171,0)</f>
        <v>0</v>
      </c>
      <c r="AL171" s="55">
        <f t="shared" ref="AL171:AL176" si="153">IF(AN171=21,L171,0)</f>
        <v>0</v>
      </c>
      <c r="AN171" s="55">
        <v>21</v>
      </c>
      <c r="AO171" s="55">
        <f t="shared" ref="AO171:AO176" si="154">H171*0</f>
        <v>0</v>
      </c>
      <c r="AP171" s="55">
        <f t="shared" ref="AP171:AP176" si="155">H171*(1-0)</f>
        <v>0</v>
      </c>
      <c r="AQ171" s="54" t="s">
        <v>162</v>
      </c>
      <c r="AV171" s="55">
        <f t="shared" ref="AV171:AV176" si="156">ROUND(AW171+AX171,2)</f>
        <v>0</v>
      </c>
      <c r="AW171" s="55">
        <f t="shared" ref="AW171:AW176" si="157">ROUND(G171*AO171,2)</f>
        <v>0</v>
      </c>
      <c r="AX171" s="55">
        <f t="shared" ref="AX171:AX176" si="158">ROUND(G171*AP171,2)</f>
        <v>0</v>
      </c>
      <c r="AY171" s="54" t="s">
        <v>565</v>
      </c>
      <c r="AZ171" s="54" t="s">
        <v>566</v>
      </c>
      <c r="BA171" s="75" t="s">
        <v>567</v>
      </c>
      <c r="BC171" s="55">
        <f t="shared" ref="BC171:BC176" si="159">AW171+AX171</f>
        <v>0</v>
      </c>
      <c r="BD171" s="55">
        <f t="shared" ref="BD171:BD176" si="160">H171/(100-BE171)*100</f>
        <v>0</v>
      </c>
      <c r="BE171" s="55">
        <v>0</v>
      </c>
      <c r="BF171" s="55">
        <f t="shared" ref="BF171:BF176" si="161">O171</f>
        <v>0</v>
      </c>
      <c r="BH171" s="55">
        <f t="shared" ref="BH171:BH176" si="162">G171*AO171</f>
        <v>0</v>
      </c>
      <c r="BI171" s="55">
        <f t="shared" ref="BI171:BI176" si="163">G171*AP171</f>
        <v>0</v>
      </c>
      <c r="BJ171" s="55">
        <f t="shared" ref="BJ171:BJ176" si="164">G171*H171</f>
        <v>0</v>
      </c>
      <c r="BK171" s="54" t="s">
        <v>161</v>
      </c>
      <c r="BL171" s="55"/>
      <c r="BW171" s="55">
        <f t="shared" ref="BW171:BW176" si="165">I171</f>
        <v>21</v>
      </c>
      <c r="BX171" s="16" t="s">
        <v>564</v>
      </c>
    </row>
    <row r="172" spans="1:76" ht="35.1" customHeight="1" x14ac:dyDescent="0.3">
      <c r="A172" s="94" t="s">
        <v>568</v>
      </c>
      <c r="B172" s="94" t="s">
        <v>110</v>
      </c>
      <c r="C172" s="94" t="s">
        <v>563</v>
      </c>
      <c r="D172" s="199" t="s">
        <v>569</v>
      </c>
      <c r="E172" s="199"/>
      <c r="F172" s="94" t="s">
        <v>287</v>
      </c>
      <c r="G172" s="96">
        <v>35</v>
      </c>
      <c r="H172" s="97"/>
      <c r="I172" s="98">
        <v>21</v>
      </c>
      <c r="J172" s="97">
        <f t="shared" si="138"/>
        <v>0</v>
      </c>
      <c r="K172" s="97">
        <f t="shared" si="139"/>
        <v>0</v>
      </c>
      <c r="L172" s="97">
        <f t="shared" si="140"/>
        <v>0</v>
      </c>
      <c r="M172" s="97">
        <f t="shared" si="141"/>
        <v>0</v>
      </c>
      <c r="N172" s="97">
        <v>0</v>
      </c>
      <c r="O172" s="96">
        <f t="shared" si="142"/>
        <v>0</v>
      </c>
      <c r="P172" s="99" t="s">
        <v>156</v>
      </c>
      <c r="Z172" s="55">
        <f t="shared" si="143"/>
        <v>0</v>
      </c>
      <c r="AB172" s="55">
        <f t="shared" si="144"/>
        <v>0</v>
      </c>
      <c r="AC172" s="55">
        <f t="shared" si="145"/>
        <v>0</v>
      </c>
      <c r="AD172" s="55">
        <f t="shared" si="146"/>
        <v>0</v>
      </c>
      <c r="AE172" s="55">
        <f t="shared" si="147"/>
        <v>0</v>
      </c>
      <c r="AF172" s="55">
        <f t="shared" si="148"/>
        <v>0</v>
      </c>
      <c r="AG172" s="55">
        <f t="shared" si="149"/>
        <v>0</v>
      </c>
      <c r="AH172" s="55">
        <f t="shared" si="150"/>
        <v>0</v>
      </c>
      <c r="AI172" s="75" t="s">
        <v>110</v>
      </c>
      <c r="AJ172" s="55">
        <f t="shared" si="151"/>
        <v>0</v>
      </c>
      <c r="AK172" s="55">
        <f t="shared" si="152"/>
        <v>0</v>
      </c>
      <c r="AL172" s="55">
        <f t="shared" si="153"/>
        <v>0</v>
      </c>
      <c r="AN172" s="55">
        <v>21</v>
      </c>
      <c r="AO172" s="55">
        <f t="shared" si="154"/>
        <v>0</v>
      </c>
      <c r="AP172" s="55">
        <f t="shared" si="155"/>
        <v>0</v>
      </c>
      <c r="AQ172" s="54" t="s">
        <v>162</v>
      </c>
      <c r="AV172" s="55">
        <f t="shared" si="156"/>
        <v>0</v>
      </c>
      <c r="AW172" s="55">
        <f t="shared" si="157"/>
        <v>0</v>
      </c>
      <c r="AX172" s="55">
        <f t="shared" si="158"/>
        <v>0</v>
      </c>
      <c r="AY172" s="54" t="s">
        <v>565</v>
      </c>
      <c r="AZ172" s="54" t="s">
        <v>566</v>
      </c>
      <c r="BA172" s="75" t="s">
        <v>567</v>
      </c>
      <c r="BC172" s="55">
        <f t="shared" si="159"/>
        <v>0</v>
      </c>
      <c r="BD172" s="55">
        <f t="shared" si="160"/>
        <v>0</v>
      </c>
      <c r="BE172" s="55">
        <v>0</v>
      </c>
      <c r="BF172" s="55">
        <f t="shared" si="161"/>
        <v>0</v>
      </c>
      <c r="BH172" s="55">
        <f t="shared" si="162"/>
        <v>0</v>
      </c>
      <c r="BI172" s="55">
        <f t="shared" si="163"/>
        <v>0</v>
      </c>
      <c r="BJ172" s="55">
        <f t="shared" si="164"/>
        <v>0</v>
      </c>
      <c r="BK172" s="54" t="s">
        <v>161</v>
      </c>
      <c r="BL172" s="55"/>
      <c r="BW172" s="55">
        <f t="shared" si="165"/>
        <v>21</v>
      </c>
      <c r="BX172" s="16" t="s">
        <v>569</v>
      </c>
    </row>
    <row r="173" spans="1:76" ht="23.85" customHeight="1" x14ac:dyDescent="0.3">
      <c r="A173" s="94" t="s">
        <v>570</v>
      </c>
      <c r="B173" s="94" t="s">
        <v>110</v>
      </c>
      <c r="C173" s="94" t="s">
        <v>563</v>
      </c>
      <c r="D173" s="199" t="s">
        <v>571</v>
      </c>
      <c r="E173" s="199"/>
      <c r="F173" s="94" t="s">
        <v>287</v>
      </c>
      <c r="G173" s="96">
        <v>30</v>
      </c>
      <c r="H173" s="97"/>
      <c r="I173" s="98">
        <v>21</v>
      </c>
      <c r="J173" s="97">
        <f t="shared" si="138"/>
        <v>0</v>
      </c>
      <c r="K173" s="97">
        <f t="shared" si="139"/>
        <v>0</v>
      </c>
      <c r="L173" s="97">
        <f t="shared" si="140"/>
        <v>0</v>
      </c>
      <c r="M173" s="97">
        <f t="shared" si="141"/>
        <v>0</v>
      </c>
      <c r="N173" s="97">
        <v>0</v>
      </c>
      <c r="O173" s="96">
        <f t="shared" si="142"/>
        <v>0</v>
      </c>
      <c r="P173" s="99" t="s">
        <v>156</v>
      </c>
      <c r="Z173" s="55">
        <f t="shared" si="143"/>
        <v>0</v>
      </c>
      <c r="AB173" s="55">
        <f t="shared" si="144"/>
        <v>0</v>
      </c>
      <c r="AC173" s="55">
        <f t="shared" si="145"/>
        <v>0</v>
      </c>
      <c r="AD173" s="55">
        <f t="shared" si="146"/>
        <v>0</v>
      </c>
      <c r="AE173" s="55">
        <f t="shared" si="147"/>
        <v>0</v>
      </c>
      <c r="AF173" s="55">
        <f t="shared" si="148"/>
        <v>0</v>
      </c>
      <c r="AG173" s="55">
        <f t="shared" si="149"/>
        <v>0</v>
      </c>
      <c r="AH173" s="55">
        <f t="shared" si="150"/>
        <v>0</v>
      </c>
      <c r="AI173" s="75" t="s">
        <v>110</v>
      </c>
      <c r="AJ173" s="55">
        <f t="shared" si="151"/>
        <v>0</v>
      </c>
      <c r="AK173" s="55">
        <f t="shared" si="152"/>
        <v>0</v>
      </c>
      <c r="AL173" s="55">
        <f t="shared" si="153"/>
        <v>0</v>
      </c>
      <c r="AN173" s="55">
        <v>21</v>
      </c>
      <c r="AO173" s="55">
        <f t="shared" si="154"/>
        <v>0</v>
      </c>
      <c r="AP173" s="55">
        <f t="shared" si="155"/>
        <v>0</v>
      </c>
      <c r="AQ173" s="54" t="s">
        <v>162</v>
      </c>
      <c r="AV173" s="55">
        <f t="shared" si="156"/>
        <v>0</v>
      </c>
      <c r="AW173" s="55">
        <f t="shared" si="157"/>
        <v>0</v>
      </c>
      <c r="AX173" s="55">
        <f t="shared" si="158"/>
        <v>0</v>
      </c>
      <c r="AY173" s="54" t="s">
        <v>565</v>
      </c>
      <c r="AZ173" s="54" t="s">
        <v>566</v>
      </c>
      <c r="BA173" s="75" t="s">
        <v>567</v>
      </c>
      <c r="BC173" s="55">
        <f t="shared" si="159"/>
        <v>0</v>
      </c>
      <c r="BD173" s="55">
        <f t="shared" si="160"/>
        <v>0</v>
      </c>
      <c r="BE173" s="55">
        <v>0</v>
      </c>
      <c r="BF173" s="55">
        <f t="shared" si="161"/>
        <v>0</v>
      </c>
      <c r="BH173" s="55">
        <f t="shared" si="162"/>
        <v>0</v>
      </c>
      <c r="BI173" s="55">
        <f t="shared" si="163"/>
        <v>0</v>
      </c>
      <c r="BJ173" s="55">
        <f t="shared" si="164"/>
        <v>0</v>
      </c>
      <c r="BK173" s="54" t="s">
        <v>161</v>
      </c>
      <c r="BL173" s="55"/>
      <c r="BW173" s="55">
        <f t="shared" si="165"/>
        <v>21</v>
      </c>
      <c r="BX173" s="16" t="s">
        <v>571</v>
      </c>
    </row>
    <row r="174" spans="1:76" ht="35.1" customHeight="1" x14ac:dyDescent="0.3">
      <c r="A174" s="94" t="s">
        <v>572</v>
      </c>
      <c r="B174" s="94" t="s">
        <v>110</v>
      </c>
      <c r="C174" s="94" t="s">
        <v>563</v>
      </c>
      <c r="D174" s="199" t="s">
        <v>573</v>
      </c>
      <c r="E174" s="199"/>
      <c r="F174" s="94" t="s">
        <v>287</v>
      </c>
      <c r="G174" s="96">
        <v>40</v>
      </c>
      <c r="H174" s="97"/>
      <c r="I174" s="98">
        <v>21</v>
      </c>
      <c r="J174" s="97">
        <f t="shared" si="138"/>
        <v>0</v>
      </c>
      <c r="K174" s="97">
        <f t="shared" si="139"/>
        <v>0</v>
      </c>
      <c r="L174" s="97">
        <f t="shared" si="140"/>
        <v>0</v>
      </c>
      <c r="M174" s="97">
        <f t="shared" si="141"/>
        <v>0</v>
      </c>
      <c r="N174" s="97">
        <v>0</v>
      </c>
      <c r="O174" s="96">
        <f t="shared" si="142"/>
        <v>0</v>
      </c>
      <c r="P174" s="99" t="s">
        <v>156</v>
      </c>
      <c r="Z174" s="55">
        <f t="shared" si="143"/>
        <v>0</v>
      </c>
      <c r="AB174" s="55">
        <f t="shared" si="144"/>
        <v>0</v>
      </c>
      <c r="AC174" s="55">
        <f t="shared" si="145"/>
        <v>0</v>
      </c>
      <c r="AD174" s="55">
        <f t="shared" si="146"/>
        <v>0</v>
      </c>
      <c r="AE174" s="55">
        <f t="shared" si="147"/>
        <v>0</v>
      </c>
      <c r="AF174" s="55">
        <f t="shared" si="148"/>
        <v>0</v>
      </c>
      <c r="AG174" s="55">
        <f t="shared" si="149"/>
        <v>0</v>
      </c>
      <c r="AH174" s="55">
        <f t="shared" si="150"/>
        <v>0</v>
      </c>
      <c r="AI174" s="75" t="s">
        <v>110</v>
      </c>
      <c r="AJ174" s="55">
        <f t="shared" si="151"/>
        <v>0</v>
      </c>
      <c r="AK174" s="55">
        <f t="shared" si="152"/>
        <v>0</v>
      </c>
      <c r="AL174" s="55">
        <f t="shared" si="153"/>
        <v>0</v>
      </c>
      <c r="AN174" s="55">
        <v>21</v>
      </c>
      <c r="AO174" s="55">
        <f t="shared" si="154"/>
        <v>0</v>
      </c>
      <c r="AP174" s="55">
        <f t="shared" si="155"/>
        <v>0</v>
      </c>
      <c r="AQ174" s="54" t="s">
        <v>162</v>
      </c>
      <c r="AV174" s="55">
        <f t="shared" si="156"/>
        <v>0</v>
      </c>
      <c r="AW174" s="55">
        <f t="shared" si="157"/>
        <v>0</v>
      </c>
      <c r="AX174" s="55">
        <f t="shared" si="158"/>
        <v>0</v>
      </c>
      <c r="AY174" s="54" t="s">
        <v>565</v>
      </c>
      <c r="AZ174" s="54" t="s">
        <v>566</v>
      </c>
      <c r="BA174" s="75" t="s">
        <v>567</v>
      </c>
      <c r="BC174" s="55">
        <f t="shared" si="159"/>
        <v>0</v>
      </c>
      <c r="BD174" s="55">
        <f t="shared" si="160"/>
        <v>0</v>
      </c>
      <c r="BE174" s="55">
        <v>0</v>
      </c>
      <c r="BF174" s="55">
        <f t="shared" si="161"/>
        <v>0</v>
      </c>
      <c r="BH174" s="55">
        <f t="shared" si="162"/>
        <v>0</v>
      </c>
      <c r="BI174" s="55">
        <f t="shared" si="163"/>
        <v>0</v>
      </c>
      <c r="BJ174" s="55">
        <f t="shared" si="164"/>
        <v>0</v>
      </c>
      <c r="BK174" s="54" t="s">
        <v>161</v>
      </c>
      <c r="BL174" s="55"/>
      <c r="BW174" s="55">
        <f t="shared" si="165"/>
        <v>21</v>
      </c>
      <c r="BX174" s="16" t="s">
        <v>573</v>
      </c>
    </row>
    <row r="175" spans="1:76" ht="35.1" customHeight="1" x14ac:dyDescent="0.3">
      <c r="A175" s="94" t="s">
        <v>574</v>
      </c>
      <c r="B175" s="94" t="s">
        <v>110</v>
      </c>
      <c r="C175" s="94" t="s">
        <v>575</v>
      </c>
      <c r="D175" s="199" t="s">
        <v>576</v>
      </c>
      <c r="E175" s="199"/>
      <c r="F175" s="94" t="s">
        <v>78</v>
      </c>
      <c r="G175" s="96">
        <f>SUM('Rozpočet - objekty'!K12:K14)/100</f>
        <v>0</v>
      </c>
      <c r="H175" s="97"/>
      <c r="I175" s="98">
        <v>21</v>
      </c>
      <c r="J175" s="97">
        <f t="shared" si="138"/>
        <v>0</v>
      </c>
      <c r="K175" s="97">
        <f t="shared" si="139"/>
        <v>0</v>
      </c>
      <c r="L175" s="97">
        <f t="shared" si="140"/>
        <v>0</v>
      </c>
      <c r="M175" s="97">
        <f t="shared" si="141"/>
        <v>0</v>
      </c>
      <c r="N175" s="97">
        <v>0</v>
      </c>
      <c r="O175" s="96">
        <f t="shared" si="142"/>
        <v>0</v>
      </c>
      <c r="P175" s="99"/>
      <c r="Z175" s="55">
        <f t="shared" si="143"/>
        <v>0</v>
      </c>
      <c r="AB175" s="55">
        <f t="shared" si="144"/>
        <v>0</v>
      </c>
      <c r="AC175" s="55">
        <f t="shared" si="145"/>
        <v>0</v>
      </c>
      <c r="AD175" s="55">
        <f t="shared" si="146"/>
        <v>0</v>
      </c>
      <c r="AE175" s="55">
        <f t="shared" si="147"/>
        <v>0</v>
      </c>
      <c r="AF175" s="55">
        <f t="shared" si="148"/>
        <v>0</v>
      </c>
      <c r="AG175" s="55">
        <f t="shared" si="149"/>
        <v>0</v>
      </c>
      <c r="AH175" s="55">
        <f t="shared" si="150"/>
        <v>0</v>
      </c>
      <c r="AI175" s="75" t="s">
        <v>110</v>
      </c>
      <c r="AJ175" s="55">
        <f t="shared" si="151"/>
        <v>0</v>
      </c>
      <c r="AK175" s="55">
        <f t="shared" si="152"/>
        <v>0</v>
      </c>
      <c r="AL175" s="55">
        <f t="shared" si="153"/>
        <v>0</v>
      </c>
      <c r="AN175" s="55">
        <v>21</v>
      </c>
      <c r="AO175" s="55">
        <f t="shared" si="154"/>
        <v>0</v>
      </c>
      <c r="AP175" s="55">
        <f t="shared" si="155"/>
        <v>0</v>
      </c>
      <c r="AQ175" s="54" t="s">
        <v>162</v>
      </c>
      <c r="AV175" s="55">
        <f t="shared" si="156"/>
        <v>0</v>
      </c>
      <c r="AW175" s="55">
        <f t="shared" si="157"/>
        <v>0</v>
      </c>
      <c r="AX175" s="55">
        <f t="shared" si="158"/>
        <v>0</v>
      </c>
      <c r="AY175" s="54" t="s">
        <v>565</v>
      </c>
      <c r="AZ175" s="54" t="s">
        <v>566</v>
      </c>
      <c r="BA175" s="75" t="s">
        <v>567</v>
      </c>
      <c r="BC175" s="55">
        <f t="shared" si="159"/>
        <v>0</v>
      </c>
      <c r="BD175" s="55">
        <f t="shared" si="160"/>
        <v>0</v>
      </c>
      <c r="BE175" s="55">
        <v>0</v>
      </c>
      <c r="BF175" s="55">
        <f t="shared" si="161"/>
        <v>0</v>
      </c>
      <c r="BH175" s="55">
        <f t="shared" si="162"/>
        <v>0</v>
      </c>
      <c r="BI175" s="55">
        <f t="shared" si="163"/>
        <v>0</v>
      </c>
      <c r="BJ175" s="55">
        <f t="shared" si="164"/>
        <v>0</v>
      </c>
      <c r="BK175" s="54" t="s">
        <v>161</v>
      </c>
      <c r="BL175" s="55"/>
      <c r="BW175" s="55">
        <f t="shared" si="165"/>
        <v>21</v>
      </c>
      <c r="BX175" s="16" t="s">
        <v>576</v>
      </c>
    </row>
    <row r="176" spans="1:76" ht="23.85" customHeight="1" x14ac:dyDescent="0.3">
      <c r="A176" s="94" t="s">
        <v>577</v>
      </c>
      <c r="B176" s="94" t="s">
        <v>110</v>
      </c>
      <c r="C176" s="94" t="s">
        <v>578</v>
      </c>
      <c r="D176" s="199" t="s">
        <v>579</v>
      </c>
      <c r="E176" s="199"/>
      <c r="F176" s="94" t="s">
        <v>78</v>
      </c>
      <c r="G176" s="96">
        <f>G175</f>
        <v>0</v>
      </c>
      <c r="H176" s="97"/>
      <c r="I176" s="98">
        <v>21</v>
      </c>
      <c r="J176" s="97">
        <f t="shared" si="138"/>
        <v>0</v>
      </c>
      <c r="K176" s="97">
        <f t="shared" si="139"/>
        <v>0</v>
      </c>
      <c r="L176" s="97">
        <f t="shared" si="140"/>
        <v>0</v>
      </c>
      <c r="M176" s="97">
        <f t="shared" si="141"/>
        <v>0</v>
      </c>
      <c r="N176" s="97">
        <v>0</v>
      </c>
      <c r="O176" s="96">
        <f t="shared" si="142"/>
        <v>0</v>
      </c>
      <c r="P176" s="99"/>
      <c r="Z176" s="55">
        <f t="shared" si="143"/>
        <v>0</v>
      </c>
      <c r="AB176" s="55">
        <f t="shared" si="144"/>
        <v>0</v>
      </c>
      <c r="AC176" s="55">
        <f t="shared" si="145"/>
        <v>0</v>
      </c>
      <c r="AD176" s="55">
        <f t="shared" si="146"/>
        <v>0</v>
      </c>
      <c r="AE176" s="55">
        <f t="shared" si="147"/>
        <v>0</v>
      </c>
      <c r="AF176" s="55">
        <f t="shared" si="148"/>
        <v>0</v>
      </c>
      <c r="AG176" s="55">
        <f t="shared" si="149"/>
        <v>0</v>
      </c>
      <c r="AH176" s="55">
        <f t="shared" si="150"/>
        <v>0</v>
      </c>
      <c r="AI176" s="75" t="s">
        <v>110</v>
      </c>
      <c r="AJ176" s="55">
        <f t="shared" si="151"/>
        <v>0</v>
      </c>
      <c r="AK176" s="55">
        <f t="shared" si="152"/>
        <v>0</v>
      </c>
      <c r="AL176" s="55">
        <f t="shared" si="153"/>
        <v>0</v>
      </c>
      <c r="AN176" s="55">
        <v>21</v>
      </c>
      <c r="AO176" s="55">
        <f t="shared" si="154"/>
        <v>0</v>
      </c>
      <c r="AP176" s="55">
        <f t="shared" si="155"/>
        <v>0</v>
      </c>
      <c r="AQ176" s="54" t="s">
        <v>162</v>
      </c>
      <c r="AV176" s="55">
        <f t="shared" si="156"/>
        <v>0</v>
      </c>
      <c r="AW176" s="55">
        <f t="shared" si="157"/>
        <v>0</v>
      </c>
      <c r="AX176" s="55">
        <f t="shared" si="158"/>
        <v>0</v>
      </c>
      <c r="AY176" s="54" t="s">
        <v>565</v>
      </c>
      <c r="AZ176" s="54" t="s">
        <v>566</v>
      </c>
      <c r="BA176" s="75" t="s">
        <v>567</v>
      </c>
      <c r="BC176" s="55">
        <f t="shared" si="159"/>
        <v>0</v>
      </c>
      <c r="BD176" s="55">
        <f t="shared" si="160"/>
        <v>0</v>
      </c>
      <c r="BE176" s="55">
        <v>0</v>
      </c>
      <c r="BF176" s="55">
        <f t="shared" si="161"/>
        <v>0</v>
      </c>
      <c r="BH176" s="55">
        <f t="shared" si="162"/>
        <v>0</v>
      </c>
      <c r="BI176" s="55">
        <f t="shared" si="163"/>
        <v>0</v>
      </c>
      <c r="BJ176" s="55">
        <f t="shared" si="164"/>
        <v>0</v>
      </c>
      <c r="BK176" s="54" t="s">
        <v>161</v>
      </c>
      <c r="BL176" s="55"/>
      <c r="BW176" s="55">
        <f t="shared" si="165"/>
        <v>21</v>
      </c>
      <c r="BX176" s="16" t="s">
        <v>579</v>
      </c>
    </row>
    <row r="177" spans="1:76" ht="19.8" customHeight="1" x14ac:dyDescent="0.3">
      <c r="A177" s="62"/>
      <c r="B177" s="124" t="s">
        <v>112</v>
      </c>
      <c r="C177" s="124"/>
      <c r="D177" s="204" t="s">
        <v>82</v>
      </c>
      <c r="E177" s="204"/>
      <c r="F177" s="62" t="s">
        <v>96</v>
      </c>
      <c r="G177" s="125" t="s">
        <v>96</v>
      </c>
      <c r="H177" s="62"/>
      <c r="I177" s="62" t="s">
        <v>96</v>
      </c>
      <c r="J177" s="126">
        <f>J178+J180+J184+J198+J208+J213</f>
        <v>0</v>
      </c>
      <c r="K177" s="126">
        <f>K178+K180+K184+K198+K208+K213</f>
        <v>0</v>
      </c>
      <c r="L177" s="126">
        <f>L178+L180+L184+L198+L208+L213</f>
        <v>0</v>
      </c>
      <c r="M177" s="126">
        <f>M178+M180+M184+M198+M208+M213</f>
        <v>0</v>
      </c>
      <c r="N177" s="127"/>
      <c r="O177" s="128">
        <f>O178+O180+O184+O198+O208+O213</f>
        <v>605.15637500000003</v>
      </c>
      <c r="P177" s="127"/>
    </row>
    <row r="178" spans="1:76" ht="15" customHeight="1" x14ac:dyDescent="0.3">
      <c r="A178" s="88"/>
      <c r="B178" s="89" t="s">
        <v>112</v>
      </c>
      <c r="C178" s="89" t="s">
        <v>234</v>
      </c>
      <c r="D178" s="198" t="s">
        <v>523</v>
      </c>
      <c r="E178" s="198"/>
      <c r="F178" s="88" t="s">
        <v>96</v>
      </c>
      <c r="G178" s="90" t="s">
        <v>96</v>
      </c>
      <c r="H178" s="88"/>
      <c r="I178" s="88" t="s">
        <v>96</v>
      </c>
      <c r="J178" s="91">
        <f>SUM(J179)</f>
        <v>0</v>
      </c>
      <c r="K178" s="91">
        <f>SUM(K179)</f>
        <v>0</v>
      </c>
      <c r="L178" s="91">
        <f>SUM(L179)</f>
        <v>0</v>
      </c>
      <c r="M178" s="91">
        <f>SUM(M179)</f>
        <v>0</v>
      </c>
      <c r="N178" s="92"/>
      <c r="O178" s="93">
        <f>SUM(O179)</f>
        <v>0</v>
      </c>
      <c r="P178" s="92"/>
      <c r="AI178" s="75" t="s">
        <v>112</v>
      </c>
      <c r="AS178" s="68">
        <f>SUM(AJ179)</f>
        <v>0</v>
      </c>
      <c r="AT178" s="68">
        <f>SUM(AK179)</f>
        <v>0</v>
      </c>
      <c r="AU178" s="68">
        <f>SUM(AL179)</f>
        <v>0</v>
      </c>
    </row>
    <row r="179" spans="1:76" ht="23.85" customHeight="1" x14ac:dyDescent="0.3">
      <c r="A179" s="94" t="s">
        <v>580</v>
      </c>
      <c r="B179" s="94" t="s">
        <v>112</v>
      </c>
      <c r="C179" s="94" t="s">
        <v>581</v>
      </c>
      <c r="D179" s="199" t="s">
        <v>582</v>
      </c>
      <c r="E179" s="199"/>
      <c r="F179" s="94" t="s">
        <v>155</v>
      </c>
      <c r="G179" s="96">
        <v>460</v>
      </c>
      <c r="H179" s="97"/>
      <c r="I179" s="98">
        <v>21</v>
      </c>
      <c r="J179" s="97">
        <f>ROUND(G179*AO179,2)</f>
        <v>0</v>
      </c>
      <c r="K179" s="97">
        <f>ROUND(G179*AP179,2)</f>
        <v>0</v>
      </c>
      <c r="L179" s="97">
        <f>ROUND(G179*H179,2)</f>
        <v>0</v>
      </c>
      <c r="M179" s="97">
        <f>L179*(1+BW179/100)</f>
        <v>0</v>
      </c>
      <c r="N179" s="97">
        <v>0</v>
      </c>
      <c r="O179" s="96">
        <f>G179*N179</f>
        <v>0</v>
      </c>
      <c r="P179" s="99" t="s">
        <v>156</v>
      </c>
      <c r="Z179" s="55">
        <f>ROUND(IF(AQ179="5",BJ179,0),2)</f>
        <v>0</v>
      </c>
      <c r="AB179" s="55">
        <f>ROUND(IF(AQ179="1",BH179,0),2)</f>
        <v>0</v>
      </c>
      <c r="AC179" s="55">
        <f>ROUND(IF(AQ179="1",BI179,0),2)</f>
        <v>0</v>
      </c>
      <c r="AD179" s="55">
        <f>ROUND(IF(AQ179="7",BH179,0),2)</f>
        <v>0</v>
      </c>
      <c r="AE179" s="55">
        <f>ROUND(IF(AQ179="7",BI179,0),2)</f>
        <v>0</v>
      </c>
      <c r="AF179" s="55">
        <f>ROUND(IF(AQ179="2",BH179,0),2)</f>
        <v>0</v>
      </c>
      <c r="AG179" s="55">
        <f>ROUND(IF(AQ179="2",BI179,0),2)</f>
        <v>0</v>
      </c>
      <c r="AH179" s="55">
        <f>ROUND(IF(AQ179="0",BJ179,0),2)</f>
        <v>0</v>
      </c>
      <c r="AI179" s="75" t="s">
        <v>112</v>
      </c>
      <c r="AJ179" s="55">
        <f>IF(AN179=0,L179,0)</f>
        <v>0</v>
      </c>
      <c r="AK179" s="55">
        <f>IF(AN179=12,L179,0)</f>
        <v>0</v>
      </c>
      <c r="AL179" s="55">
        <f>IF(AN179=21,L179,0)</f>
        <v>0</v>
      </c>
      <c r="AN179" s="55">
        <v>21</v>
      </c>
      <c r="AO179" s="55">
        <f>H179*0</f>
        <v>0</v>
      </c>
      <c r="AP179" s="55">
        <f>H179*(1-0)</f>
        <v>0</v>
      </c>
      <c r="AQ179" s="54" t="s">
        <v>152</v>
      </c>
      <c r="AV179" s="55">
        <f>ROUND(AW179+AX179,2)</f>
        <v>0</v>
      </c>
      <c r="AW179" s="55">
        <f>ROUND(G179*AO179,2)</f>
        <v>0</v>
      </c>
      <c r="AX179" s="55">
        <f>ROUND(G179*AP179,2)</f>
        <v>0</v>
      </c>
      <c r="AY179" s="54" t="s">
        <v>527</v>
      </c>
      <c r="AZ179" s="54" t="s">
        <v>583</v>
      </c>
      <c r="BA179" s="75" t="s">
        <v>584</v>
      </c>
      <c r="BC179" s="55">
        <f>AW179+AX179</f>
        <v>0</v>
      </c>
      <c r="BD179" s="55">
        <f>H179/(100-BE179)*100</f>
        <v>0</v>
      </c>
      <c r="BE179" s="55">
        <v>0</v>
      </c>
      <c r="BF179" s="55">
        <f>O179</f>
        <v>0</v>
      </c>
      <c r="BH179" s="55">
        <f>G179*AO179</f>
        <v>0</v>
      </c>
      <c r="BI179" s="55">
        <f>G179*AP179</f>
        <v>0</v>
      </c>
      <c r="BJ179" s="55">
        <f>G179*H179</f>
        <v>0</v>
      </c>
      <c r="BK179" s="54" t="s">
        <v>161</v>
      </c>
      <c r="BL179" s="55">
        <v>18</v>
      </c>
      <c r="BW179" s="55">
        <f>I179</f>
        <v>21</v>
      </c>
      <c r="BX179" s="16" t="s">
        <v>582</v>
      </c>
    </row>
    <row r="180" spans="1:76" ht="15" customHeight="1" x14ac:dyDescent="0.3">
      <c r="A180" s="88"/>
      <c r="B180" s="89" t="s">
        <v>112</v>
      </c>
      <c r="C180" s="89" t="s">
        <v>311</v>
      </c>
      <c r="D180" s="198" t="s">
        <v>585</v>
      </c>
      <c r="E180" s="198"/>
      <c r="F180" s="88" t="s">
        <v>96</v>
      </c>
      <c r="G180" s="90" t="s">
        <v>96</v>
      </c>
      <c r="H180" s="88"/>
      <c r="I180" s="88" t="s">
        <v>96</v>
      </c>
      <c r="J180" s="91">
        <f>SUM(J181:J183)</f>
        <v>0</v>
      </c>
      <c r="K180" s="91">
        <f>SUM(K181:K183)</f>
        <v>0</v>
      </c>
      <c r="L180" s="91">
        <f>SUM(L181:L183)</f>
        <v>0</v>
      </c>
      <c r="M180" s="91">
        <f>SUM(M181:M183)</f>
        <v>0</v>
      </c>
      <c r="N180" s="92"/>
      <c r="O180" s="93">
        <f>SUM(O181:O183)</f>
        <v>0</v>
      </c>
      <c r="P180" s="92"/>
      <c r="AI180" s="75" t="s">
        <v>112</v>
      </c>
      <c r="AS180" s="68">
        <f>SUM(AJ181:AJ183)</f>
        <v>0</v>
      </c>
      <c r="AT180" s="68">
        <f>SUM(AK181:AK183)</f>
        <v>0</v>
      </c>
      <c r="AU180" s="68">
        <f>SUM(AL181:AL183)</f>
        <v>0</v>
      </c>
    </row>
    <row r="181" spans="1:76" ht="23.85" customHeight="1" x14ac:dyDescent="0.3">
      <c r="A181" s="94" t="s">
        <v>586</v>
      </c>
      <c r="B181" s="94" t="s">
        <v>112</v>
      </c>
      <c r="C181" s="94" t="s">
        <v>587</v>
      </c>
      <c r="D181" s="199" t="s">
        <v>588</v>
      </c>
      <c r="E181" s="199"/>
      <c r="F181" s="94" t="s">
        <v>212</v>
      </c>
      <c r="G181" s="96">
        <v>3</v>
      </c>
      <c r="H181" s="97"/>
      <c r="I181" s="98">
        <v>21</v>
      </c>
      <c r="J181" s="97">
        <f>ROUND(G181*AO181,2)</f>
        <v>0</v>
      </c>
      <c r="K181" s="97">
        <f>ROUND(G181*AP181,2)</f>
        <v>0</v>
      </c>
      <c r="L181" s="97">
        <f>ROUND(G181*H181,2)</f>
        <v>0</v>
      </c>
      <c r="M181" s="97">
        <f>L181*(1+BW181/100)</f>
        <v>0</v>
      </c>
      <c r="N181" s="97">
        <v>0</v>
      </c>
      <c r="O181" s="96">
        <f>G181*N181</f>
        <v>0</v>
      </c>
      <c r="P181" s="99" t="s">
        <v>156</v>
      </c>
      <c r="Z181" s="55">
        <f>ROUND(IF(AQ181="5",BJ181,0),2)</f>
        <v>0</v>
      </c>
      <c r="AB181" s="55">
        <f>ROUND(IF(AQ181="1",BH181,0),2)</f>
        <v>0</v>
      </c>
      <c r="AC181" s="55">
        <f>ROUND(IF(AQ181="1",BI181,0),2)</f>
        <v>0</v>
      </c>
      <c r="AD181" s="55">
        <f>ROUND(IF(AQ181="7",BH181,0),2)</f>
        <v>0</v>
      </c>
      <c r="AE181" s="55">
        <f>ROUND(IF(AQ181="7",BI181,0),2)</f>
        <v>0</v>
      </c>
      <c r="AF181" s="55">
        <f>ROUND(IF(AQ181="2",BH181,0),2)</f>
        <v>0</v>
      </c>
      <c r="AG181" s="55">
        <f>ROUND(IF(AQ181="2",BI181,0),2)</f>
        <v>0</v>
      </c>
      <c r="AH181" s="55">
        <f>ROUND(IF(AQ181="0",BJ181,0),2)</f>
        <v>0</v>
      </c>
      <c r="AI181" s="75" t="s">
        <v>112</v>
      </c>
      <c r="AJ181" s="55">
        <f>IF(AN181=0,L181,0)</f>
        <v>0</v>
      </c>
      <c r="AK181" s="55">
        <f>IF(AN181=12,L181,0)</f>
        <v>0</v>
      </c>
      <c r="AL181" s="55">
        <f>IF(AN181=21,L181,0)</f>
        <v>0</v>
      </c>
      <c r="AN181" s="55">
        <v>21</v>
      </c>
      <c r="AO181" s="55">
        <f>H181*0</f>
        <v>0</v>
      </c>
      <c r="AP181" s="55">
        <f>H181*(1-0)</f>
        <v>0</v>
      </c>
      <c r="AQ181" s="54" t="s">
        <v>152</v>
      </c>
      <c r="AV181" s="55">
        <f>ROUND(AW181+AX181,2)</f>
        <v>0</v>
      </c>
      <c r="AW181" s="55">
        <f>ROUND(G181*AO181,2)</f>
        <v>0</v>
      </c>
      <c r="AX181" s="55">
        <f>ROUND(G181*AP181,2)</f>
        <v>0</v>
      </c>
      <c r="AY181" s="54" t="s">
        <v>589</v>
      </c>
      <c r="AZ181" s="54" t="s">
        <v>590</v>
      </c>
      <c r="BA181" s="75" t="s">
        <v>584</v>
      </c>
      <c r="BC181" s="55">
        <f>AW181+AX181</f>
        <v>0</v>
      </c>
      <c r="BD181" s="55">
        <f>H181/(100-BE181)*100</f>
        <v>0</v>
      </c>
      <c r="BE181" s="55">
        <v>0</v>
      </c>
      <c r="BF181" s="55">
        <f>O181</f>
        <v>0</v>
      </c>
      <c r="BH181" s="55">
        <f>G181*AO181</f>
        <v>0</v>
      </c>
      <c r="BI181" s="55">
        <f>G181*AP181</f>
        <v>0</v>
      </c>
      <c r="BJ181" s="55">
        <f>G181*H181</f>
        <v>0</v>
      </c>
      <c r="BK181" s="54" t="s">
        <v>161</v>
      </c>
      <c r="BL181" s="55">
        <v>38</v>
      </c>
      <c r="BW181" s="55">
        <f>I181</f>
        <v>21</v>
      </c>
      <c r="BX181" s="16" t="s">
        <v>588</v>
      </c>
    </row>
    <row r="182" spans="1:76" ht="15" customHeight="1" x14ac:dyDescent="0.3">
      <c r="A182" s="94" t="s">
        <v>591</v>
      </c>
      <c r="B182" s="94" t="s">
        <v>112</v>
      </c>
      <c r="C182" s="94" t="s">
        <v>592</v>
      </c>
      <c r="D182" s="199" t="s">
        <v>593</v>
      </c>
      <c r="E182" s="199"/>
      <c r="F182" s="94" t="s">
        <v>594</v>
      </c>
      <c r="G182" s="96">
        <v>8</v>
      </c>
      <c r="H182" s="97"/>
      <c r="I182" s="98">
        <v>21</v>
      </c>
      <c r="J182" s="97">
        <f>ROUND(G182*AO182,2)</f>
        <v>0</v>
      </c>
      <c r="K182" s="97">
        <f>ROUND(G182*AP182,2)</f>
        <v>0</v>
      </c>
      <c r="L182" s="97">
        <f>ROUND(G182*H182,2)</f>
        <v>0</v>
      </c>
      <c r="M182" s="97">
        <f>L182*(1+BW182/100)</f>
        <v>0</v>
      </c>
      <c r="N182" s="97">
        <v>0</v>
      </c>
      <c r="O182" s="96">
        <f>G182*N182</f>
        <v>0</v>
      </c>
      <c r="P182" s="99"/>
      <c r="Z182" s="55">
        <f>ROUND(IF(AQ182="5",BJ182,0),2)</f>
        <v>0</v>
      </c>
      <c r="AB182" s="55">
        <f>ROUND(IF(AQ182="1",BH182,0),2)</f>
        <v>0</v>
      </c>
      <c r="AC182" s="55">
        <f>ROUND(IF(AQ182="1",BI182,0),2)</f>
        <v>0</v>
      </c>
      <c r="AD182" s="55">
        <f>ROUND(IF(AQ182="7",BH182,0),2)</f>
        <v>0</v>
      </c>
      <c r="AE182" s="55">
        <f>ROUND(IF(AQ182="7",BI182,0),2)</f>
        <v>0</v>
      </c>
      <c r="AF182" s="55">
        <f>ROUND(IF(AQ182="2",BH182,0),2)</f>
        <v>0</v>
      </c>
      <c r="AG182" s="55">
        <f>ROUND(IF(AQ182="2",BI182,0),2)</f>
        <v>0</v>
      </c>
      <c r="AH182" s="55">
        <f>ROUND(IF(AQ182="0",BJ182,0),2)</f>
        <v>0</v>
      </c>
      <c r="AI182" s="75" t="s">
        <v>112</v>
      </c>
      <c r="AJ182" s="55">
        <f>IF(AN182=0,L182,0)</f>
        <v>0</v>
      </c>
      <c r="AK182" s="55">
        <f>IF(AN182=12,L182,0)</f>
        <v>0</v>
      </c>
      <c r="AL182" s="55">
        <f>IF(AN182=21,L182,0)</f>
        <v>0</v>
      </c>
      <c r="AN182" s="55">
        <v>21</v>
      </c>
      <c r="AO182" s="55">
        <f>H182*0</f>
        <v>0</v>
      </c>
      <c r="AP182" s="55">
        <f>H182*(1-0)</f>
        <v>0</v>
      </c>
      <c r="AQ182" s="54" t="s">
        <v>162</v>
      </c>
      <c r="AV182" s="55">
        <f>ROUND(AW182+AX182,2)</f>
        <v>0</v>
      </c>
      <c r="AW182" s="55">
        <f>ROUND(G182*AO182,2)</f>
        <v>0</v>
      </c>
      <c r="AX182" s="55">
        <f>ROUND(G182*AP182,2)</f>
        <v>0</v>
      </c>
      <c r="AY182" s="54" t="s">
        <v>589</v>
      </c>
      <c r="AZ182" s="54" t="s">
        <v>590</v>
      </c>
      <c r="BA182" s="75" t="s">
        <v>584</v>
      </c>
      <c r="BC182" s="55">
        <f>AW182+AX182</f>
        <v>0</v>
      </c>
      <c r="BD182" s="55">
        <f>H182/(100-BE182)*100</f>
        <v>0</v>
      </c>
      <c r="BE182" s="55">
        <v>0</v>
      </c>
      <c r="BF182" s="55">
        <f>O182</f>
        <v>0</v>
      </c>
      <c r="BH182" s="55">
        <f>G182*AO182</f>
        <v>0</v>
      </c>
      <c r="BI182" s="55">
        <f>G182*AP182</f>
        <v>0</v>
      </c>
      <c r="BJ182" s="55">
        <f>G182*H182</f>
        <v>0</v>
      </c>
      <c r="BK182" s="54" t="s">
        <v>161</v>
      </c>
      <c r="BL182" s="55">
        <v>38</v>
      </c>
      <c r="BW182" s="55">
        <f>I182</f>
        <v>21</v>
      </c>
      <c r="BX182" s="16" t="s">
        <v>593</v>
      </c>
    </row>
    <row r="183" spans="1:76" ht="15" customHeight="1" x14ac:dyDescent="0.3">
      <c r="A183" s="94" t="s">
        <v>595</v>
      </c>
      <c r="B183" s="94" t="s">
        <v>112</v>
      </c>
      <c r="C183" s="94" t="s">
        <v>596</v>
      </c>
      <c r="D183" s="199" t="s">
        <v>597</v>
      </c>
      <c r="E183" s="199"/>
      <c r="F183" s="94" t="s">
        <v>594</v>
      </c>
      <c r="G183" s="96">
        <v>4</v>
      </c>
      <c r="H183" s="97"/>
      <c r="I183" s="98">
        <v>21</v>
      </c>
      <c r="J183" s="97">
        <f>ROUND(G183*AO183,2)</f>
        <v>0</v>
      </c>
      <c r="K183" s="97">
        <f>ROUND(G183*AP183,2)</f>
        <v>0</v>
      </c>
      <c r="L183" s="97">
        <f>ROUND(G183*H183,2)</f>
        <v>0</v>
      </c>
      <c r="M183" s="97">
        <f>L183*(1+BW183/100)</f>
        <v>0</v>
      </c>
      <c r="N183" s="97">
        <v>0</v>
      </c>
      <c r="O183" s="96">
        <f>G183*N183</f>
        <v>0</v>
      </c>
      <c r="P183" s="99"/>
      <c r="Z183" s="55">
        <f>ROUND(IF(AQ183="5",BJ183,0),2)</f>
        <v>0</v>
      </c>
      <c r="AB183" s="55">
        <f>ROUND(IF(AQ183="1",BH183,0),2)</f>
        <v>0</v>
      </c>
      <c r="AC183" s="55">
        <f>ROUND(IF(AQ183="1",BI183,0),2)</f>
        <v>0</v>
      </c>
      <c r="AD183" s="55">
        <f>ROUND(IF(AQ183="7",BH183,0),2)</f>
        <v>0</v>
      </c>
      <c r="AE183" s="55">
        <f>ROUND(IF(AQ183="7",BI183,0),2)</f>
        <v>0</v>
      </c>
      <c r="AF183" s="55">
        <f>ROUND(IF(AQ183="2",BH183,0),2)</f>
        <v>0</v>
      </c>
      <c r="AG183" s="55">
        <f>ROUND(IF(AQ183="2",BI183,0),2)</f>
        <v>0</v>
      </c>
      <c r="AH183" s="55">
        <f>ROUND(IF(AQ183="0",BJ183,0),2)</f>
        <v>0</v>
      </c>
      <c r="AI183" s="75" t="s">
        <v>112</v>
      </c>
      <c r="AJ183" s="55">
        <f>IF(AN183=0,L183,0)</f>
        <v>0</v>
      </c>
      <c r="AK183" s="55">
        <f>IF(AN183=12,L183,0)</f>
        <v>0</v>
      </c>
      <c r="AL183" s="55">
        <f>IF(AN183=21,L183,0)</f>
        <v>0</v>
      </c>
      <c r="AN183" s="55">
        <v>21</v>
      </c>
      <c r="AO183" s="55">
        <f>H183*0</f>
        <v>0</v>
      </c>
      <c r="AP183" s="55">
        <f>H183*(1-0)</f>
        <v>0</v>
      </c>
      <c r="AQ183" s="54" t="s">
        <v>162</v>
      </c>
      <c r="AV183" s="55">
        <f>ROUND(AW183+AX183,2)</f>
        <v>0</v>
      </c>
      <c r="AW183" s="55">
        <f>ROUND(G183*AO183,2)</f>
        <v>0</v>
      </c>
      <c r="AX183" s="55">
        <f>ROUND(G183*AP183,2)</f>
        <v>0</v>
      </c>
      <c r="AY183" s="54" t="s">
        <v>589</v>
      </c>
      <c r="AZ183" s="54" t="s">
        <v>590</v>
      </c>
      <c r="BA183" s="75" t="s">
        <v>584</v>
      </c>
      <c r="BC183" s="55">
        <f>AW183+AX183</f>
        <v>0</v>
      </c>
      <c r="BD183" s="55">
        <f>H183/(100-BE183)*100</f>
        <v>0</v>
      </c>
      <c r="BE183" s="55">
        <v>0</v>
      </c>
      <c r="BF183" s="55">
        <f>O183</f>
        <v>0</v>
      </c>
      <c r="BH183" s="55">
        <f>G183*AO183</f>
        <v>0</v>
      </c>
      <c r="BI183" s="55">
        <f>G183*AP183</f>
        <v>0</v>
      </c>
      <c r="BJ183" s="55">
        <f>G183*H183</f>
        <v>0</v>
      </c>
      <c r="BK183" s="54" t="s">
        <v>161</v>
      </c>
      <c r="BL183" s="55">
        <v>38</v>
      </c>
      <c r="BW183" s="55">
        <f>I183</f>
        <v>21</v>
      </c>
      <c r="BX183" s="16" t="s">
        <v>597</v>
      </c>
    </row>
    <row r="184" spans="1:76" ht="15" customHeight="1" x14ac:dyDescent="0.3">
      <c r="A184" s="88"/>
      <c r="B184" s="89" t="s">
        <v>112</v>
      </c>
      <c r="C184" s="89" t="s">
        <v>370</v>
      </c>
      <c r="D184" s="198" t="s">
        <v>598</v>
      </c>
      <c r="E184" s="198"/>
      <c r="F184" s="88" t="s">
        <v>96</v>
      </c>
      <c r="G184" s="90" t="s">
        <v>96</v>
      </c>
      <c r="H184" s="88"/>
      <c r="I184" s="88" t="s">
        <v>96</v>
      </c>
      <c r="J184" s="91">
        <f>SUM(J185:J197)</f>
        <v>0</v>
      </c>
      <c r="K184" s="91">
        <f>SUM(K185:K197)</f>
        <v>0</v>
      </c>
      <c r="L184" s="91">
        <f>SUM(L185:L197)</f>
        <v>0</v>
      </c>
      <c r="M184" s="91">
        <f>SUM(M185:M197)</f>
        <v>0</v>
      </c>
      <c r="N184" s="92"/>
      <c r="O184" s="93">
        <f>SUM(O185:O197)</f>
        <v>602.23429999999996</v>
      </c>
      <c r="P184" s="92"/>
      <c r="AI184" s="75" t="s">
        <v>112</v>
      </c>
      <c r="AS184" s="68">
        <f>SUM(AJ185:AJ197)</f>
        <v>0</v>
      </c>
      <c r="AT184" s="68">
        <f>SUM(AK185:AK197)</f>
        <v>0</v>
      </c>
      <c r="AU184" s="68">
        <f>SUM(AL185:AL197)</f>
        <v>0</v>
      </c>
    </row>
    <row r="185" spans="1:76" ht="23.85" customHeight="1" x14ac:dyDescent="0.3">
      <c r="A185" s="94" t="s">
        <v>599</v>
      </c>
      <c r="B185" s="94" t="s">
        <v>112</v>
      </c>
      <c r="C185" s="94" t="s">
        <v>600</v>
      </c>
      <c r="D185" s="199" t="s">
        <v>601</v>
      </c>
      <c r="E185" s="199"/>
      <c r="F185" s="94" t="s">
        <v>287</v>
      </c>
      <c r="G185" s="96">
        <v>6</v>
      </c>
      <c r="H185" s="97"/>
      <c r="I185" s="98">
        <v>21</v>
      </c>
      <c r="J185" s="97">
        <f t="shared" ref="J185:J197" si="166">ROUND(G185*AO185,2)</f>
        <v>0</v>
      </c>
      <c r="K185" s="97">
        <f t="shared" ref="K185:K197" si="167">ROUND(G185*AP185,2)</f>
        <v>0</v>
      </c>
      <c r="L185" s="97">
        <f t="shared" ref="L185:L197" si="168">ROUND(G185*H185,2)</f>
        <v>0</v>
      </c>
      <c r="M185" s="97">
        <f t="shared" ref="M185:M197" si="169">L185*(1+BW185/100)</f>
        <v>0</v>
      </c>
      <c r="N185" s="97">
        <v>0</v>
      </c>
      <c r="O185" s="96">
        <f t="shared" ref="O185:O197" si="170">G185*N185</f>
        <v>0</v>
      </c>
      <c r="P185" s="99" t="s">
        <v>156</v>
      </c>
      <c r="Z185" s="55">
        <f t="shared" ref="Z185:Z197" si="171">ROUND(IF(AQ185="5",BJ185,0),2)</f>
        <v>0</v>
      </c>
      <c r="AB185" s="55">
        <f t="shared" ref="AB185:AB197" si="172">ROUND(IF(AQ185="1",BH185,0),2)</f>
        <v>0</v>
      </c>
      <c r="AC185" s="55">
        <f t="shared" ref="AC185:AC197" si="173">ROUND(IF(AQ185="1",BI185,0),2)</f>
        <v>0</v>
      </c>
      <c r="AD185" s="55">
        <f t="shared" ref="AD185:AD197" si="174">ROUND(IF(AQ185="7",BH185,0),2)</f>
        <v>0</v>
      </c>
      <c r="AE185" s="55">
        <f t="shared" ref="AE185:AE197" si="175">ROUND(IF(AQ185="7",BI185,0),2)</f>
        <v>0</v>
      </c>
      <c r="AF185" s="55">
        <f t="shared" ref="AF185:AF197" si="176">ROUND(IF(AQ185="2",BH185,0),2)</f>
        <v>0</v>
      </c>
      <c r="AG185" s="55">
        <f t="shared" ref="AG185:AG197" si="177">ROUND(IF(AQ185="2",BI185,0),2)</f>
        <v>0</v>
      </c>
      <c r="AH185" s="55">
        <f t="shared" ref="AH185:AH197" si="178">ROUND(IF(AQ185="0",BJ185,0),2)</f>
        <v>0</v>
      </c>
      <c r="AI185" s="75" t="s">
        <v>112</v>
      </c>
      <c r="AJ185" s="55">
        <f t="shared" ref="AJ185:AJ197" si="179">IF(AN185=0,L185,0)</f>
        <v>0</v>
      </c>
      <c r="AK185" s="55">
        <f t="shared" ref="AK185:AK197" si="180">IF(AN185=12,L185,0)</f>
        <v>0</v>
      </c>
      <c r="AL185" s="55">
        <f t="shared" ref="AL185:AL197" si="181">IF(AN185=21,L185,0)</f>
        <v>0</v>
      </c>
      <c r="AN185" s="55">
        <v>21</v>
      </c>
      <c r="AO185" s="55">
        <f>H185*0</f>
        <v>0</v>
      </c>
      <c r="AP185" s="55">
        <f>H185*(1-0)</f>
        <v>0</v>
      </c>
      <c r="AQ185" s="54" t="s">
        <v>152</v>
      </c>
      <c r="AV185" s="55">
        <f t="shared" ref="AV185:AV197" si="182">ROUND(AW185+AX185,2)</f>
        <v>0</v>
      </c>
      <c r="AW185" s="55">
        <f t="shared" ref="AW185:AW197" si="183">ROUND(G185*AO185,2)</f>
        <v>0</v>
      </c>
      <c r="AX185" s="55">
        <f t="shared" ref="AX185:AX197" si="184">ROUND(G185*AP185,2)</f>
        <v>0</v>
      </c>
      <c r="AY185" s="54" t="s">
        <v>602</v>
      </c>
      <c r="AZ185" s="54" t="s">
        <v>603</v>
      </c>
      <c r="BA185" s="75" t="s">
        <v>584</v>
      </c>
      <c r="BC185" s="55">
        <f t="shared" ref="BC185:BC197" si="185">AW185+AX185</f>
        <v>0</v>
      </c>
      <c r="BD185" s="55">
        <f t="shared" ref="BD185:BD197" si="186">H185/(100-BE185)*100</f>
        <v>0</v>
      </c>
      <c r="BE185" s="55">
        <v>0</v>
      </c>
      <c r="BF185" s="55">
        <f t="shared" ref="BF185:BF197" si="187">O185</f>
        <v>0</v>
      </c>
      <c r="BH185" s="55">
        <f t="shared" ref="BH185:BH197" si="188">G185*AO185</f>
        <v>0</v>
      </c>
      <c r="BI185" s="55">
        <f t="shared" ref="BI185:BI197" si="189">G185*AP185</f>
        <v>0</v>
      </c>
      <c r="BJ185" s="55">
        <f t="shared" ref="BJ185:BJ197" si="190">G185*H185</f>
        <v>0</v>
      </c>
      <c r="BK185" s="54" t="s">
        <v>161</v>
      </c>
      <c r="BL185" s="55">
        <v>56</v>
      </c>
      <c r="BW185" s="55">
        <f t="shared" ref="BW185:BW197" si="191">I185</f>
        <v>21</v>
      </c>
      <c r="BX185" s="16" t="s">
        <v>601</v>
      </c>
    </row>
    <row r="186" spans="1:76" ht="15" customHeight="1" x14ac:dyDescent="0.3">
      <c r="A186" s="94" t="s">
        <v>604</v>
      </c>
      <c r="B186" s="94" t="s">
        <v>112</v>
      </c>
      <c r="C186" s="94" t="s">
        <v>605</v>
      </c>
      <c r="D186" s="199" t="s">
        <v>606</v>
      </c>
      <c r="E186" s="199"/>
      <c r="F186" s="94" t="s">
        <v>155</v>
      </c>
      <c r="G186" s="96">
        <v>460</v>
      </c>
      <c r="H186" s="97"/>
      <c r="I186" s="98">
        <v>21</v>
      </c>
      <c r="J186" s="97">
        <f t="shared" si="166"/>
        <v>0</v>
      </c>
      <c r="K186" s="97">
        <f t="shared" si="167"/>
        <v>0</v>
      </c>
      <c r="L186" s="97">
        <f t="shared" si="168"/>
        <v>0</v>
      </c>
      <c r="M186" s="97">
        <f t="shared" si="169"/>
        <v>0</v>
      </c>
      <c r="N186" s="97">
        <v>0</v>
      </c>
      <c r="O186" s="96">
        <f t="shared" si="170"/>
        <v>0</v>
      </c>
      <c r="P186" s="99" t="s">
        <v>156</v>
      </c>
      <c r="Z186" s="55">
        <f t="shared" si="171"/>
        <v>0</v>
      </c>
      <c r="AB186" s="55">
        <f t="shared" si="172"/>
        <v>0</v>
      </c>
      <c r="AC186" s="55">
        <f t="shared" si="173"/>
        <v>0</v>
      </c>
      <c r="AD186" s="55">
        <f t="shared" si="174"/>
        <v>0</v>
      </c>
      <c r="AE186" s="55">
        <f t="shared" si="175"/>
        <v>0</v>
      </c>
      <c r="AF186" s="55">
        <f t="shared" si="176"/>
        <v>0</v>
      </c>
      <c r="AG186" s="55">
        <f t="shared" si="177"/>
        <v>0</v>
      </c>
      <c r="AH186" s="55">
        <f t="shared" si="178"/>
        <v>0</v>
      </c>
      <c r="AI186" s="75" t="s">
        <v>112</v>
      </c>
      <c r="AJ186" s="55">
        <f t="shared" si="179"/>
        <v>0</v>
      </c>
      <c r="AK186" s="55">
        <f t="shared" si="180"/>
        <v>0</v>
      </c>
      <c r="AL186" s="55">
        <f t="shared" si="181"/>
        <v>0</v>
      </c>
      <c r="AN186" s="55">
        <v>21</v>
      </c>
      <c r="AO186" s="55">
        <f>H186*0</f>
        <v>0</v>
      </c>
      <c r="AP186" s="55">
        <f>H186*(1-0)</f>
        <v>0</v>
      </c>
      <c r="AQ186" s="54" t="s">
        <v>152</v>
      </c>
      <c r="AV186" s="55">
        <f t="shared" si="182"/>
        <v>0</v>
      </c>
      <c r="AW186" s="55">
        <f t="shared" si="183"/>
        <v>0</v>
      </c>
      <c r="AX186" s="55">
        <f t="shared" si="184"/>
        <v>0</v>
      </c>
      <c r="AY186" s="54" t="s">
        <v>602</v>
      </c>
      <c r="AZ186" s="54" t="s">
        <v>603</v>
      </c>
      <c r="BA186" s="75" t="s">
        <v>584</v>
      </c>
      <c r="BC186" s="55">
        <f t="shared" si="185"/>
        <v>0</v>
      </c>
      <c r="BD186" s="55">
        <f t="shared" si="186"/>
        <v>0</v>
      </c>
      <c r="BE186" s="55">
        <v>0</v>
      </c>
      <c r="BF186" s="55">
        <f t="shared" si="187"/>
        <v>0</v>
      </c>
      <c r="BH186" s="55">
        <f t="shared" si="188"/>
        <v>0</v>
      </c>
      <c r="BI186" s="55">
        <f t="shared" si="189"/>
        <v>0</v>
      </c>
      <c r="BJ186" s="55">
        <f t="shared" si="190"/>
        <v>0</v>
      </c>
      <c r="BK186" s="54" t="s">
        <v>161</v>
      </c>
      <c r="BL186" s="55">
        <v>56</v>
      </c>
      <c r="BW186" s="55">
        <f t="shared" si="191"/>
        <v>21</v>
      </c>
      <c r="BX186" s="16" t="s">
        <v>606</v>
      </c>
    </row>
    <row r="187" spans="1:76" ht="15" customHeight="1" x14ac:dyDescent="0.3">
      <c r="A187" s="105" t="s">
        <v>607</v>
      </c>
      <c r="B187" s="105" t="s">
        <v>112</v>
      </c>
      <c r="C187" s="105" t="s">
        <v>608</v>
      </c>
      <c r="D187" s="201" t="s">
        <v>609</v>
      </c>
      <c r="E187" s="201"/>
      <c r="F187" s="105" t="s">
        <v>155</v>
      </c>
      <c r="G187" s="107">
        <v>529</v>
      </c>
      <c r="H187" s="108"/>
      <c r="I187" s="109">
        <v>21</v>
      </c>
      <c r="J187" s="108">
        <f t="shared" si="166"/>
        <v>0</v>
      </c>
      <c r="K187" s="108">
        <f t="shared" si="167"/>
        <v>0</v>
      </c>
      <c r="L187" s="108">
        <f t="shared" si="168"/>
        <v>0</v>
      </c>
      <c r="M187" s="108">
        <f t="shared" si="169"/>
        <v>0</v>
      </c>
      <c r="N187" s="108">
        <v>5.0000000000000001E-4</v>
      </c>
      <c r="O187" s="107">
        <f t="shared" si="170"/>
        <v>0.26450000000000001</v>
      </c>
      <c r="P187" s="110" t="s">
        <v>156</v>
      </c>
      <c r="Z187" s="55">
        <f t="shared" si="171"/>
        <v>0</v>
      </c>
      <c r="AB187" s="55">
        <f t="shared" si="172"/>
        <v>0</v>
      </c>
      <c r="AC187" s="55">
        <f t="shared" si="173"/>
        <v>0</v>
      </c>
      <c r="AD187" s="55">
        <f t="shared" si="174"/>
        <v>0</v>
      </c>
      <c r="AE187" s="55">
        <f t="shared" si="175"/>
        <v>0</v>
      </c>
      <c r="AF187" s="55">
        <f t="shared" si="176"/>
        <v>0</v>
      </c>
      <c r="AG187" s="55">
        <f t="shared" si="177"/>
        <v>0</v>
      </c>
      <c r="AH187" s="55">
        <f t="shared" si="178"/>
        <v>0</v>
      </c>
      <c r="AI187" s="75" t="s">
        <v>112</v>
      </c>
      <c r="AJ187" s="111">
        <f t="shared" si="179"/>
        <v>0</v>
      </c>
      <c r="AK187" s="111">
        <f t="shared" si="180"/>
        <v>0</v>
      </c>
      <c r="AL187" s="111">
        <f t="shared" si="181"/>
        <v>0</v>
      </c>
      <c r="AN187" s="55">
        <v>21</v>
      </c>
      <c r="AO187" s="55">
        <f>H187*1</f>
        <v>0</v>
      </c>
      <c r="AP187" s="55">
        <f>H187*(1-1)</f>
        <v>0</v>
      </c>
      <c r="AQ187" s="112" t="s">
        <v>152</v>
      </c>
      <c r="AV187" s="55">
        <f t="shared" si="182"/>
        <v>0</v>
      </c>
      <c r="AW187" s="55">
        <f t="shared" si="183"/>
        <v>0</v>
      </c>
      <c r="AX187" s="55">
        <f t="shared" si="184"/>
        <v>0</v>
      </c>
      <c r="AY187" s="54" t="s">
        <v>602</v>
      </c>
      <c r="AZ187" s="54" t="s">
        <v>603</v>
      </c>
      <c r="BA187" s="75" t="s">
        <v>584</v>
      </c>
      <c r="BC187" s="55">
        <f t="shared" si="185"/>
        <v>0</v>
      </c>
      <c r="BD187" s="55">
        <f t="shared" si="186"/>
        <v>0</v>
      </c>
      <c r="BE187" s="55">
        <v>0</v>
      </c>
      <c r="BF187" s="55">
        <f t="shared" si="187"/>
        <v>0.26450000000000001</v>
      </c>
      <c r="BH187" s="111">
        <f t="shared" si="188"/>
        <v>0</v>
      </c>
      <c r="BI187" s="111">
        <f t="shared" si="189"/>
        <v>0</v>
      </c>
      <c r="BJ187" s="111">
        <f t="shared" si="190"/>
        <v>0</v>
      </c>
      <c r="BK187" s="112" t="s">
        <v>489</v>
      </c>
      <c r="BL187" s="55">
        <v>56</v>
      </c>
      <c r="BW187" s="55">
        <f t="shared" si="191"/>
        <v>21</v>
      </c>
      <c r="BX187" s="113" t="s">
        <v>609</v>
      </c>
    </row>
    <row r="188" spans="1:76" ht="23.85" customHeight="1" x14ac:dyDescent="0.3">
      <c r="A188" s="94" t="s">
        <v>610</v>
      </c>
      <c r="B188" s="94" t="s">
        <v>112</v>
      </c>
      <c r="C188" s="94" t="s">
        <v>611</v>
      </c>
      <c r="D188" s="199" t="s">
        <v>612</v>
      </c>
      <c r="E188" s="199"/>
      <c r="F188" s="94" t="s">
        <v>155</v>
      </c>
      <c r="G188" s="96">
        <v>460</v>
      </c>
      <c r="H188" s="97"/>
      <c r="I188" s="98">
        <v>21</v>
      </c>
      <c r="J188" s="97">
        <f t="shared" si="166"/>
        <v>0</v>
      </c>
      <c r="K188" s="97">
        <f t="shared" si="167"/>
        <v>0</v>
      </c>
      <c r="L188" s="97">
        <f t="shared" si="168"/>
        <v>0</v>
      </c>
      <c r="M188" s="97">
        <f t="shared" si="169"/>
        <v>0</v>
      </c>
      <c r="N188" s="97">
        <v>0.49875000000000003</v>
      </c>
      <c r="O188" s="96">
        <f t="shared" si="170"/>
        <v>229.42500000000001</v>
      </c>
      <c r="P188" s="99" t="s">
        <v>156</v>
      </c>
      <c r="Z188" s="55">
        <f t="shared" si="171"/>
        <v>0</v>
      </c>
      <c r="AB188" s="55">
        <f t="shared" si="172"/>
        <v>0</v>
      </c>
      <c r="AC188" s="55">
        <f t="shared" si="173"/>
        <v>0</v>
      </c>
      <c r="AD188" s="55">
        <f t="shared" si="174"/>
        <v>0</v>
      </c>
      <c r="AE188" s="55">
        <f t="shared" si="175"/>
        <v>0</v>
      </c>
      <c r="AF188" s="55">
        <f t="shared" si="176"/>
        <v>0</v>
      </c>
      <c r="AG188" s="55">
        <f t="shared" si="177"/>
        <v>0</v>
      </c>
      <c r="AH188" s="55">
        <f t="shared" si="178"/>
        <v>0</v>
      </c>
      <c r="AI188" s="75" t="s">
        <v>112</v>
      </c>
      <c r="AJ188" s="55">
        <f t="shared" si="179"/>
        <v>0</v>
      </c>
      <c r="AK188" s="55">
        <f t="shared" si="180"/>
        <v>0</v>
      </c>
      <c r="AL188" s="55">
        <f t="shared" si="181"/>
        <v>0</v>
      </c>
      <c r="AN188" s="55">
        <v>21</v>
      </c>
      <c r="AO188" s="55">
        <f>H188*0.84911828</f>
        <v>0</v>
      </c>
      <c r="AP188" s="55">
        <f>H188*(1-0.84911828)</f>
        <v>0</v>
      </c>
      <c r="AQ188" s="54" t="s">
        <v>152</v>
      </c>
      <c r="AV188" s="55">
        <f t="shared" si="182"/>
        <v>0</v>
      </c>
      <c r="AW188" s="55">
        <f t="shared" si="183"/>
        <v>0</v>
      </c>
      <c r="AX188" s="55">
        <f t="shared" si="184"/>
        <v>0</v>
      </c>
      <c r="AY188" s="54" t="s">
        <v>602</v>
      </c>
      <c r="AZ188" s="54" t="s">
        <v>603</v>
      </c>
      <c r="BA188" s="75" t="s">
        <v>584</v>
      </c>
      <c r="BC188" s="55">
        <f t="shared" si="185"/>
        <v>0</v>
      </c>
      <c r="BD188" s="55">
        <f t="shared" si="186"/>
        <v>0</v>
      </c>
      <c r="BE188" s="55">
        <v>0</v>
      </c>
      <c r="BF188" s="55">
        <f t="shared" si="187"/>
        <v>229.42500000000001</v>
      </c>
      <c r="BH188" s="55">
        <f t="shared" si="188"/>
        <v>0</v>
      </c>
      <c r="BI188" s="55">
        <f t="shared" si="189"/>
        <v>0</v>
      </c>
      <c r="BJ188" s="55">
        <f t="shared" si="190"/>
        <v>0</v>
      </c>
      <c r="BK188" s="54" t="s">
        <v>161</v>
      </c>
      <c r="BL188" s="55">
        <v>56</v>
      </c>
      <c r="BW188" s="55">
        <f t="shared" si="191"/>
        <v>21</v>
      </c>
      <c r="BX188" s="16" t="s">
        <v>612</v>
      </c>
    </row>
    <row r="189" spans="1:76" ht="15" customHeight="1" x14ac:dyDescent="0.3">
      <c r="A189" s="94" t="s">
        <v>613</v>
      </c>
      <c r="B189" s="94" t="s">
        <v>112</v>
      </c>
      <c r="C189" s="94" t="s">
        <v>614</v>
      </c>
      <c r="D189" s="199" t="s">
        <v>615</v>
      </c>
      <c r="E189" s="199"/>
      <c r="F189" s="94" t="s">
        <v>155</v>
      </c>
      <c r="G189" s="96">
        <v>460</v>
      </c>
      <c r="H189" s="97"/>
      <c r="I189" s="98">
        <v>21</v>
      </c>
      <c r="J189" s="97">
        <f t="shared" si="166"/>
        <v>0</v>
      </c>
      <c r="K189" s="97">
        <f t="shared" si="167"/>
        <v>0</v>
      </c>
      <c r="L189" s="97">
        <f t="shared" si="168"/>
        <v>0</v>
      </c>
      <c r="M189" s="97">
        <f t="shared" si="169"/>
        <v>0</v>
      </c>
      <c r="N189" s="97">
        <v>9.9750000000000005E-2</v>
      </c>
      <c r="O189" s="96">
        <f t="shared" si="170"/>
        <v>45.885000000000005</v>
      </c>
      <c r="P189" s="99" t="s">
        <v>156</v>
      </c>
      <c r="Z189" s="55">
        <f t="shared" si="171"/>
        <v>0</v>
      </c>
      <c r="AB189" s="55">
        <f t="shared" si="172"/>
        <v>0</v>
      </c>
      <c r="AC189" s="55">
        <f t="shared" si="173"/>
        <v>0</v>
      </c>
      <c r="AD189" s="55">
        <f t="shared" si="174"/>
        <v>0</v>
      </c>
      <c r="AE189" s="55">
        <f t="shared" si="175"/>
        <v>0</v>
      </c>
      <c r="AF189" s="55">
        <f t="shared" si="176"/>
        <v>0</v>
      </c>
      <c r="AG189" s="55">
        <f t="shared" si="177"/>
        <v>0</v>
      </c>
      <c r="AH189" s="55">
        <f t="shared" si="178"/>
        <v>0</v>
      </c>
      <c r="AI189" s="75" t="s">
        <v>112</v>
      </c>
      <c r="AJ189" s="55">
        <f t="shared" si="179"/>
        <v>0</v>
      </c>
      <c r="AK189" s="55">
        <f t="shared" si="180"/>
        <v>0</v>
      </c>
      <c r="AL189" s="55">
        <f t="shared" si="181"/>
        <v>0</v>
      </c>
      <c r="AN189" s="55">
        <v>21</v>
      </c>
      <c r="AO189" s="55">
        <f>H189*0.662794918</f>
        <v>0</v>
      </c>
      <c r="AP189" s="55">
        <f>H189*(1-0.662794918)</f>
        <v>0</v>
      </c>
      <c r="AQ189" s="54" t="s">
        <v>152</v>
      </c>
      <c r="AV189" s="55">
        <f t="shared" si="182"/>
        <v>0</v>
      </c>
      <c r="AW189" s="55">
        <f t="shared" si="183"/>
        <v>0</v>
      </c>
      <c r="AX189" s="55">
        <f t="shared" si="184"/>
        <v>0</v>
      </c>
      <c r="AY189" s="54" t="s">
        <v>602</v>
      </c>
      <c r="AZ189" s="54" t="s">
        <v>603</v>
      </c>
      <c r="BA189" s="75" t="s">
        <v>584</v>
      </c>
      <c r="BC189" s="55">
        <f t="shared" si="185"/>
        <v>0</v>
      </c>
      <c r="BD189" s="55">
        <f t="shared" si="186"/>
        <v>0</v>
      </c>
      <c r="BE189" s="55">
        <v>0</v>
      </c>
      <c r="BF189" s="55">
        <f t="shared" si="187"/>
        <v>45.885000000000005</v>
      </c>
      <c r="BH189" s="55">
        <f t="shared" si="188"/>
        <v>0</v>
      </c>
      <c r="BI189" s="55">
        <f t="shared" si="189"/>
        <v>0</v>
      </c>
      <c r="BJ189" s="55">
        <f t="shared" si="190"/>
        <v>0</v>
      </c>
      <c r="BK189" s="54" t="s">
        <v>161</v>
      </c>
      <c r="BL189" s="55">
        <v>56</v>
      </c>
      <c r="BW189" s="55">
        <f t="shared" si="191"/>
        <v>21</v>
      </c>
      <c r="BX189" s="16" t="s">
        <v>615</v>
      </c>
    </row>
    <row r="190" spans="1:76" ht="15" customHeight="1" x14ac:dyDescent="0.3">
      <c r="A190" s="94" t="s">
        <v>616</v>
      </c>
      <c r="B190" s="94" t="s">
        <v>112</v>
      </c>
      <c r="C190" s="94" t="s">
        <v>617</v>
      </c>
      <c r="D190" s="199" t="s">
        <v>618</v>
      </c>
      <c r="E190" s="199"/>
      <c r="F190" s="94" t="s">
        <v>155</v>
      </c>
      <c r="G190" s="96">
        <v>460</v>
      </c>
      <c r="H190" s="97"/>
      <c r="I190" s="98">
        <v>21</v>
      </c>
      <c r="J190" s="97">
        <f t="shared" si="166"/>
        <v>0</v>
      </c>
      <c r="K190" s="97">
        <f t="shared" si="167"/>
        <v>0</v>
      </c>
      <c r="L190" s="97">
        <f t="shared" si="168"/>
        <v>0</v>
      </c>
      <c r="M190" s="97">
        <f t="shared" si="169"/>
        <v>0</v>
      </c>
      <c r="N190" s="97">
        <v>0.7077</v>
      </c>
      <c r="O190" s="96">
        <f t="shared" si="170"/>
        <v>325.54199999999997</v>
      </c>
      <c r="P190" s="99" t="s">
        <v>156</v>
      </c>
      <c r="Z190" s="55">
        <f t="shared" si="171"/>
        <v>0</v>
      </c>
      <c r="AB190" s="55">
        <f t="shared" si="172"/>
        <v>0</v>
      </c>
      <c r="AC190" s="55">
        <f t="shared" si="173"/>
        <v>0</v>
      </c>
      <c r="AD190" s="55">
        <f t="shared" si="174"/>
        <v>0</v>
      </c>
      <c r="AE190" s="55">
        <f t="shared" si="175"/>
        <v>0</v>
      </c>
      <c r="AF190" s="55">
        <f t="shared" si="176"/>
        <v>0</v>
      </c>
      <c r="AG190" s="55">
        <f t="shared" si="177"/>
        <v>0</v>
      </c>
      <c r="AH190" s="55">
        <f t="shared" si="178"/>
        <v>0</v>
      </c>
      <c r="AI190" s="75" t="s">
        <v>112</v>
      </c>
      <c r="AJ190" s="55">
        <f t="shared" si="179"/>
        <v>0</v>
      </c>
      <c r="AK190" s="55">
        <f t="shared" si="180"/>
        <v>0</v>
      </c>
      <c r="AL190" s="55">
        <f t="shared" si="181"/>
        <v>0</v>
      </c>
      <c r="AN190" s="55">
        <v>21</v>
      </c>
      <c r="AO190" s="55">
        <f t="shared" ref="AO190:AO197" si="192">H190*0</f>
        <v>0</v>
      </c>
      <c r="AP190" s="55">
        <f t="shared" ref="AP190:AP197" si="193">H190*(1-0)</f>
        <v>0</v>
      </c>
      <c r="AQ190" s="54" t="s">
        <v>152</v>
      </c>
      <c r="AV190" s="55">
        <f t="shared" si="182"/>
        <v>0</v>
      </c>
      <c r="AW190" s="55">
        <f t="shared" si="183"/>
        <v>0</v>
      </c>
      <c r="AX190" s="55">
        <f t="shared" si="184"/>
        <v>0</v>
      </c>
      <c r="AY190" s="54" t="s">
        <v>602</v>
      </c>
      <c r="AZ190" s="54" t="s">
        <v>603</v>
      </c>
      <c r="BA190" s="75" t="s">
        <v>584</v>
      </c>
      <c r="BC190" s="55">
        <f t="shared" si="185"/>
        <v>0</v>
      </c>
      <c r="BD190" s="55">
        <f t="shared" si="186"/>
        <v>0</v>
      </c>
      <c r="BE190" s="55">
        <v>0</v>
      </c>
      <c r="BF190" s="55">
        <f t="shared" si="187"/>
        <v>325.54199999999997</v>
      </c>
      <c r="BH190" s="55">
        <f t="shared" si="188"/>
        <v>0</v>
      </c>
      <c r="BI190" s="55">
        <f t="shared" si="189"/>
        <v>0</v>
      </c>
      <c r="BJ190" s="55">
        <f t="shared" si="190"/>
        <v>0</v>
      </c>
      <c r="BK190" s="54" t="s">
        <v>161</v>
      </c>
      <c r="BL190" s="55">
        <v>56</v>
      </c>
      <c r="BW190" s="55">
        <f t="shared" si="191"/>
        <v>21</v>
      </c>
      <c r="BX190" s="16" t="s">
        <v>618</v>
      </c>
    </row>
    <row r="191" spans="1:76" ht="23.85" customHeight="1" x14ac:dyDescent="0.3">
      <c r="A191" s="94" t="s">
        <v>619</v>
      </c>
      <c r="B191" s="94" t="s">
        <v>112</v>
      </c>
      <c r="C191" s="94" t="s">
        <v>620</v>
      </c>
      <c r="D191" s="199" t="s">
        <v>621</v>
      </c>
      <c r="E191" s="199"/>
      <c r="F191" s="94" t="s">
        <v>323</v>
      </c>
      <c r="G191" s="96">
        <v>601.11599999999999</v>
      </c>
      <c r="H191" s="97"/>
      <c r="I191" s="98">
        <v>21</v>
      </c>
      <c r="J191" s="97">
        <f t="shared" si="166"/>
        <v>0</v>
      </c>
      <c r="K191" s="97">
        <f t="shared" si="167"/>
        <v>0</v>
      </c>
      <c r="L191" s="97">
        <f t="shared" si="168"/>
        <v>0</v>
      </c>
      <c r="M191" s="97">
        <f t="shared" si="169"/>
        <v>0</v>
      </c>
      <c r="N191" s="97">
        <v>0</v>
      </c>
      <c r="O191" s="96">
        <f t="shared" si="170"/>
        <v>0</v>
      </c>
      <c r="P191" s="99" t="s">
        <v>156</v>
      </c>
      <c r="Z191" s="55">
        <f t="shared" si="171"/>
        <v>0</v>
      </c>
      <c r="AB191" s="55">
        <f t="shared" si="172"/>
        <v>0</v>
      </c>
      <c r="AC191" s="55">
        <f t="shared" si="173"/>
        <v>0</v>
      </c>
      <c r="AD191" s="55">
        <f t="shared" si="174"/>
        <v>0</v>
      </c>
      <c r="AE191" s="55">
        <f t="shared" si="175"/>
        <v>0</v>
      </c>
      <c r="AF191" s="55">
        <f t="shared" si="176"/>
        <v>0</v>
      </c>
      <c r="AG191" s="55">
        <f t="shared" si="177"/>
        <v>0</v>
      </c>
      <c r="AH191" s="55">
        <f t="shared" si="178"/>
        <v>0</v>
      </c>
      <c r="AI191" s="75" t="s">
        <v>112</v>
      </c>
      <c r="AJ191" s="55">
        <f t="shared" si="179"/>
        <v>0</v>
      </c>
      <c r="AK191" s="55">
        <f t="shared" si="180"/>
        <v>0</v>
      </c>
      <c r="AL191" s="55">
        <f t="shared" si="181"/>
        <v>0</v>
      </c>
      <c r="AN191" s="55">
        <v>21</v>
      </c>
      <c r="AO191" s="55">
        <f t="shared" si="192"/>
        <v>0</v>
      </c>
      <c r="AP191" s="55">
        <f t="shared" si="193"/>
        <v>0</v>
      </c>
      <c r="AQ191" s="54" t="s">
        <v>179</v>
      </c>
      <c r="AV191" s="55">
        <f t="shared" si="182"/>
        <v>0</v>
      </c>
      <c r="AW191" s="55">
        <f t="shared" si="183"/>
        <v>0</v>
      </c>
      <c r="AX191" s="55">
        <f t="shared" si="184"/>
        <v>0</v>
      </c>
      <c r="AY191" s="54" t="s">
        <v>602</v>
      </c>
      <c r="AZ191" s="54" t="s">
        <v>603</v>
      </c>
      <c r="BA191" s="75" t="s">
        <v>584</v>
      </c>
      <c r="BC191" s="55">
        <f t="shared" si="185"/>
        <v>0</v>
      </c>
      <c r="BD191" s="55">
        <f t="shared" si="186"/>
        <v>0</v>
      </c>
      <c r="BE191" s="55">
        <v>0</v>
      </c>
      <c r="BF191" s="55">
        <f t="shared" si="187"/>
        <v>0</v>
      </c>
      <c r="BH191" s="55">
        <f t="shared" si="188"/>
        <v>0</v>
      </c>
      <c r="BI191" s="55">
        <f t="shared" si="189"/>
        <v>0</v>
      </c>
      <c r="BJ191" s="55">
        <f t="shared" si="190"/>
        <v>0</v>
      </c>
      <c r="BK191" s="54" t="s">
        <v>161</v>
      </c>
      <c r="BL191" s="55">
        <v>56</v>
      </c>
      <c r="BW191" s="55">
        <f t="shared" si="191"/>
        <v>21</v>
      </c>
      <c r="BX191" s="16" t="s">
        <v>621</v>
      </c>
    </row>
    <row r="192" spans="1:76" ht="23.85" customHeight="1" x14ac:dyDescent="0.3">
      <c r="A192" s="94" t="s">
        <v>622</v>
      </c>
      <c r="B192" s="94" t="s">
        <v>112</v>
      </c>
      <c r="C192" s="94" t="s">
        <v>623</v>
      </c>
      <c r="D192" s="199" t="s">
        <v>624</v>
      </c>
      <c r="E192" s="199"/>
      <c r="F192" s="94" t="s">
        <v>323</v>
      </c>
      <c r="G192" s="96">
        <v>6008.52</v>
      </c>
      <c r="H192" s="97"/>
      <c r="I192" s="98">
        <v>21</v>
      </c>
      <c r="J192" s="97">
        <f t="shared" si="166"/>
        <v>0</v>
      </c>
      <c r="K192" s="97">
        <f t="shared" si="167"/>
        <v>0</v>
      </c>
      <c r="L192" s="97">
        <f t="shared" si="168"/>
        <v>0</v>
      </c>
      <c r="M192" s="97">
        <f t="shared" si="169"/>
        <v>0</v>
      </c>
      <c r="N192" s="97">
        <v>0</v>
      </c>
      <c r="O192" s="96">
        <f t="shared" si="170"/>
        <v>0</v>
      </c>
      <c r="P192" s="99" t="s">
        <v>156</v>
      </c>
      <c r="Z192" s="55">
        <f t="shared" si="171"/>
        <v>0</v>
      </c>
      <c r="AB192" s="55">
        <f t="shared" si="172"/>
        <v>0</v>
      </c>
      <c r="AC192" s="55">
        <f t="shared" si="173"/>
        <v>0</v>
      </c>
      <c r="AD192" s="55">
        <f t="shared" si="174"/>
        <v>0</v>
      </c>
      <c r="AE192" s="55">
        <f t="shared" si="175"/>
        <v>0</v>
      </c>
      <c r="AF192" s="55">
        <f t="shared" si="176"/>
        <v>0</v>
      </c>
      <c r="AG192" s="55">
        <f t="shared" si="177"/>
        <v>0</v>
      </c>
      <c r="AH192" s="55">
        <f t="shared" si="178"/>
        <v>0</v>
      </c>
      <c r="AI192" s="75" t="s">
        <v>112</v>
      </c>
      <c r="AJ192" s="55">
        <f t="shared" si="179"/>
        <v>0</v>
      </c>
      <c r="AK192" s="55">
        <f t="shared" si="180"/>
        <v>0</v>
      </c>
      <c r="AL192" s="55">
        <f t="shared" si="181"/>
        <v>0</v>
      </c>
      <c r="AN192" s="55">
        <v>21</v>
      </c>
      <c r="AO192" s="55">
        <f t="shared" si="192"/>
        <v>0</v>
      </c>
      <c r="AP192" s="55">
        <f t="shared" si="193"/>
        <v>0</v>
      </c>
      <c r="AQ192" s="54" t="s">
        <v>179</v>
      </c>
      <c r="AV192" s="55">
        <f t="shared" si="182"/>
        <v>0</v>
      </c>
      <c r="AW192" s="55">
        <f t="shared" si="183"/>
        <v>0</v>
      </c>
      <c r="AX192" s="55">
        <f t="shared" si="184"/>
        <v>0</v>
      </c>
      <c r="AY192" s="54" t="s">
        <v>602</v>
      </c>
      <c r="AZ192" s="54" t="s">
        <v>603</v>
      </c>
      <c r="BA192" s="75" t="s">
        <v>584</v>
      </c>
      <c r="BC192" s="55">
        <f t="shared" si="185"/>
        <v>0</v>
      </c>
      <c r="BD192" s="55">
        <f t="shared" si="186"/>
        <v>0</v>
      </c>
      <c r="BE192" s="55">
        <v>0</v>
      </c>
      <c r="BF192" s="55">
        <f t="shared" si="187"/>
        <v>0</v>
      </c>
      <c r="BH192" s="55">
        <f t="shared" si="188"/>
        <v>0</v>
      </c>
      <c r="BI192" s="55">
        <f t="shared" si="189"/>
        <v>0</v>
      </c>
      <c r="BJ192" s="55">
        <f t="shared" si="190"/>
        <v>0</v>
      </c>
      <c r="BK192" s="54" t="s">
        <v>161</v>
      </c>
      <c r="BL192" s="55">
        <v>56</v>
      </c>
      <c r="BW192" s="55">
        <f t="shared" si="191"/>
        <v>21</v>
      </c>
      <c r="BX192" s="16" t="s">
        <v>624</v>
      </c>
    </row>
    <row r="193" spans="1:76" ht="23.85" customHeight="1" x14ac:dyDescent="0.3">
      <c r="A193" s="94" t="s">
        <v>625</v>
      </c>
      <c r="B193" s="94" t="s">
        <v>112</v>
      </c>
      <c r="C193" s="94" t="s">
        <v>405</v>
      </c>
      <c r="D193" s="199" t="s">
        <v>626</v>
      </c>
      <c r="E193" s="199"/>
      <c r="F193" s="94" t="s">
        <v>323</v>
      </c>
      <c r="G193" s="96">
        <v>325.54199999999997</v>
      </c>
      <c r="H193" s="97"/>
      <c r="I193" s="98">
        <v>21</v>
      </c>
      <c r="J193" s="97">
        <f t="shared" si="166"/>
        <v>0</v>
      </c>
      <c r="K193" s="97">
        <f t="shared" si="167"/>
        <v>0</v>
      </c>
      <c r="L193" s="97">
        <f t="shared" si="168"/>
        <v>0</v>
      </c>
      <c r="M193" s="97">
        <f t="shared" si="169"/>
        <v>0</v>
      </c>
      <c r="N193" s="97">
        <v>0</v>
      </c>
      <c r="O193" s="96">
        <f t="shared" si="170"/>
        <v>0</v>
      </c>
      <c r="P193" s="99" t="s">
        <v>156</v>
      </c>
      <c r="Z193" s="55">
        <f t="shared" si="171"/>
        <v>0</v>
      </c>
      <c r="AB193" s="55">
        <f t="shared" si="172"/>
        <v>0</v>
      </c>
      <c r="AC193" s="55">
        <f t="shared" si="173"/>
        <v>0</v>
      </c>
      <c r="AD193" s="55">
        <f t="shared" si="174"/>
        <v>0</v>
      </c>
      <c r="AE193" s="55">
        <f t="shared" si="175"/>
        <v>0</v>
      </c>
      <c r="AF193" s="55">
        <f t="shared" si="176"/>
        <v>0</v>
      </c>
      <c r="AG193" s="55">
        <f t="shared" si="177"/>
        <v>0</v>
      </c>
      <c r="AH193" s="55">
        <f t="shared" si="178"/>
        <v>0</v>
      </c>
      <c r="AI193" s="75" t="s">
        <v>112</v>
      </c>
      <c r="AJ193" s="55">
        <f t="shared" si="179"/>
        <v>0</v>
      </c>
      <c r="AK193" s="55">
        <f t="shared" si="180"/>
        <v>0</v>
      </c>
      <c r="AL193" s="55">
        <f t="shared" si="181"/>
        <v>0</v>
      </c>
      <c r="AN193" s="55">
        <v>21</v>
      </c>
      <c r="AO193" s="55">
        <f t="shared" si="192"/>
        <v>0</v>
      </c>
      <c r="AP193" s="55">
        <f t="shared" si="193"/>
        <v>0</v>
      </c>
      <c r="AQ193" s="54" t="s">
        <v>179</v>
      </c>
      <c r="AV193" s="55">
        <f t="shared" si="182"/>
        <v>0</v>
      </c>
      <c r="AW193" s="55">
        <f t="shared" si="183"/>
        <v>0</v>
      </c>
      <c r="AX193" s="55">
        <f t="shared" si="184"/>
        <v>0</v>
      </c>
      <c r="AY193" s="54" t="s">
        <v>602</v>
      </c>
      <c r="AZ193" s="54" t="s">
        <v>603</v>
      </c>
      <c r="BA193" s="75" t="s">
        <v>584</v>
      </c>
      <c r="BC193" s="55">
        <f t="shared" si="185"/>
        <v>0</v>
      </c>
      <c r="BD193" s="55">
        <f t="shared" si="186"/>
        <v>0</v>
      </c>
      <c r="BE193" s="55">
        <v>0</v>
      </c>
      <c r="BF193" s="55">
        <f t="shared" si="187"/>
        <v>0</v>
      </c>
      <c r="BH193" s="55">
        <f t="shared" si="188"/>
        <v>0</v>
      </c>
      <c r="BI193" s="55">
        <f t="shared" si="189"/>
        <v>0</v>
      </c>
      <c r="BJ193" s="55">
        <f t="shared" si="190"/>
        <v>0</v>
      </c>
      <c r="BK193" s="54" t="s">
        <v>161</v>
      </c>
      <c r="BL193" s="55">
        <v>56</v>
      </c>
      <c r="BW193" s="55">
        <f t="shared" si="191"/>
        <v>21</v>
      </c>
      <c r="BX193" s="16" t="s">
        <v>626</v>
      </c>
    </row>
    <row r="194" spans="1:76" ht="15" customHeight="1" x14ac:dyDescent="0.3">
      <c r="A194" s="94" t="s">
        <v>627</v>
      </c>
      <c r="B194" s="94" t="s">
        <v>112</v>
      </c>
      <c r="C194" s="94" t="s">
        <v>628</v>
      </c>
      <c r="D194" s="199" t="s">
        <v>629</v>
      </c>
      <c r="E194" s="199"/>
      <c r="F194" s="94" t="s">
        <v>155</v>
      </c>
      <c r="G194" s="96">
        <v>460</v>
      </c>
      <c r="H194" s="97"/>
      <c r="I194" s="98">
        <v>21</v>
      </c>
      <c r="J194" s="97">
        <f t="shared" si="166"/>
        <v>0</v>
      </c>
      <c r="K194" s="97">
        <f t="shared" si="167"/>
        <v>0</v>
      </c>
      <c r="L194" s="97">
        <f t="shared" si="168"/>
        <v>0</v>
      </c>
      <c r="M194" s="97">
        <f t="shared" si="169"/>
        <v>0</v>
      </c>
      <c r="N194" s="97">
        <v>2.4299999999999999E-3</v>
      </c>
      <c r="O194" s="96">
        <f t="shared" si="170"/>
        <v>1.1177999999999999</v>
      </c>
      <c r="P194" s="99" t="s">
        <v>156</v>
      </c>
      <c r="Z194" s="55">
        <f t="shared" si="171"/>
        <v>0</v>
      </c>
      <c r="AB194" s="55">
        <f t="shared" si="172"/>
        <v>0</v>
      </c>
      <c r="AC194" s="55">
        <f t="shared" si="173"/>
        <v>0</v>
      </c>
      <c r="AD194" s="55">
        <f t="shared" si="174"/>
        <v>0</v>
      </c>
      <c r="AE194" s="55">
        <f t="shared" si="175"/>
        <v>0</v>
      </c>
      <c r="AF194" s="55">
        <f t="shared" si="176"/>
        <v>0</v>
      </c>
      <c r="AG194" s="55">
        <f t="shared" si="177"/>
        <v>0</v>
      </c>
      <c r="AH194" s="55">
        <f t="shared" si="178"/>
        <v>0</v>
      </c>
      <c r="AI194" s="75" t="s">
        <v>112</v>
      </c>
      <c r="AJ194" s="55">
        <f t="shared" si="179"/>
        <v>0</v>
      </c>
      <c r="AK194" s="55">
        <f t="shared" si="180"/>
        <v>0</v>
      </c>
      <c r="AL194" s="55">
        <f t="shared" si="181"/>
        <v>0</v>
      </c>
      <c r="AN194" s="55">
        <v>21</v>
      </c>
      <c r="AO194" s="55">
        <f t="shared" si="192"/>
        <v>0</v>
      </c>
      <c r="AP194" s="55">
        <f t="shared" si="193"/>
        <v>0</v>
      </c>
      <c r="AQ194" s="54" t="s">
        <v>152</v>
      </c>
      <c r="AV194" s="55">
        <f t="shared" si="182"/>
        <v>0</v>
      </c>
      <c r="AW194" s="55">
        <f t="shared" si="183"/>
        <v>0</v>
      </c>
      <c r="AX194" s="55">
        <f t="shared" si="184"/>
        <v>0</v>
      </c>
      <c r="AY194" s="54" t="s">
        <v>602</v>
      </c>
      <c r="AZ194" s="54" t="s">
        <v>603</v>
      </c>
      <c r="BA194" s="75" t="s">
        <v>584</v>
      </c>
      <c r="BC194" s="55">
        <f t="shared" si="185"/>
        <v>0</v>
      </c>
      <c r="BD194" s="55">
        <f t="shared" si="186"/>
        <v>0</v>
      </c>
      <c r="BE194" s="55">
        <v>0</v>
      </c>
      <c r="BF194" s="55">
        <f t="shared" si="187"/>
        <v>1.1177999999999999</v>
      </c>
      <c r="BH194" s="55">
        <f t="shared" si="188"/>
        <v>0</v>
      </c>
      <c r="BI194" s="55">
        <f t="shared" si="189"/>
        <v>0</v>
      </c>
      <c r="BJ194" s="55">
        <f t="shared" si="190"/>
        <v>0</v>
      </c>
      <c r="BK194" s="54" t="s">
        <v>161</v>
      </c>
      <c r="BL194" s="55">
        <v>56</v>
      </c>
      <c r="BW194" s="55">
        <f t="shared" si="191"/>
        <v>21</v>
      </c>
      <c r="BX194" s="16" t="s">
        <v>629</v>
      </c>
    </row>
    <row r="195" spans="1:76" ht="15" customHeight="1" x14ac:dyDescent="0.3">
      <c r="A195" s="94" t="s">
        <v>630</v>
      </c>
      <c r="B195" s="94" t="s">
        <v>112</v>
      </c>
      <c r="C195" s="94" t="s">
        <v>453</v>
      </c>
      <c r="D195" s="199" t="s">
        <v>454</v>
      </c>
      <c r="E195" s="199"/>
      <c r="F195" s="94" t="s">
        <v>323</v>
      </c>
      <c r="G195" s="96">
        <v>0.65800000000000003</v>
      </c>
      <c r="H195" s="97"/>
      <c r="I195" s="98">
        <v>21</v>
      </c>
      <c r="J195" s="97">
        <f t="shared" si="166"/>
        <v>0</v>
      </c>
      <c r="K195" s="97">
        <f t="shared" si="167"/>
        <v>0</v>
      </c>
      <c r="L195" s="97">
        <f t="shared" si="168"/>
        <v>0</v>
      </c>
      <c r="M195" s="97">
        <f t="shared" si="169"/>
        <v>0</v>
      </c>
      <c r="N195" s="97">
        <v>0</v>
      </c>
      <c r="O195" s="96">
        <f t="shared" si="170"/>
        <v>0</v>
      </c>
      <c r="P195" s="99" t="s">
        <v>156</v>
      </c>
      <c r="Z195" s="55">
        <f t="shared" si="171"/>
        <v>0</v>
      </c>
      <c r="AB195" s="55">
        <f t="shared" si="172"/>
        <v>0</v>
      </c>
      <c r="AC195" s="55">
        <f t="shared" si="173"/>
        <v>0</v>
      </c>
      <c r="AD195" s="55">
        <f t="shared" si="174"/>
        <v>0</v>
      </c>
      <c r="AE195" s="55">
        <f t="shared" si="175"/>
        <v>0</v>
      </c>
      <c r="AF195" s="55">
        <f t="shared" si="176"/>
        <v>0</v>
      </c>
      <c r="AG195" s="55">
        <f t="shared" si="177"/>
        <v>0</v>
      </c>
      <c r="AH195" s="55">
        <f t="shared" si="178"/>
        <v>0</v>
      </c>
      <c r="AI195" s="75" t="s">
        <v>112</v>
      </c>
      <c r="AJ195" s="55">
        <f t="shared" si="179"/>
        <v>0</v>
      </c>
      <c r="AK195" s="55">
        <f t="shared" si="180"/>
        <v>0</v>
      </c>
      <c r="AL195" s="55">
        <f t="shared" si="181"/>
        <v>0</v>
      </c>
      <c r="AN195" s="55">
        <v>21</v>
      </c>
      <c r="AO195" s="55">
        <f t="shared" si="192"/>
        <v>0</v>
      </c>
      <c r="AP195" s="55">
        <f t="shared" si="193"/>
        <v>0</v>
      </c>
      <c r="AQ195" s="54" t="s">
        <v>179</v>
      </c>
      <c r="AV195" s="55">
        <f t="shared" si="182"/>
        <v>0</v>
      </c>
      <c r="AW195" s="55">
        <f t="shared" si="183"/>
        <v>0</v>
      </c>
      <c r="AX195" s="55">
        <f t="shared" si="184"/>
        <v>0</v>
      </c>
      <c r="AY195" s="54" t="s">
        <v>602</v>
      </c>
      <c r="AZ195" s="54" t="s">
        <v>603</v>
      </c>
      <c r="BA195" s="75" t="s">
        <v>584</v>
      </c>
      <c r="BC195" s="55">
        <f t="shared" si="185"/>
        <v>0</v>
      </c>
      <c r="BD195" s="55">
        <f t="shared" si="186"/>
        <v>0</v>
      </c>
      <c r="BE195" s="55">
        <v>0</v>
      </c>
      <c r="BF195" s="55">
        <f t="shared" si="187"/>
        <v>0</v>
      </c>
      <c r="BH195" s="55">
        <f t="shared" si="188"/>
        <v>0</v>
      </c>
      <c r="BI195" s="55">
        <f t="shared" si="189"/>
        <v>0</v>
      </c>
      <c r="BJ195" s="55">
        <f t="shared" si="190"/>
        <v>0</v>
      </c>
      <c r="BK195" s="54" t="s">
        <v>161</v>
      </c>
      <c r="BL195" s="55">
        <v>56</v>
      </c>
      <c r="BW195" s="55">
        <f t="shared" si="191"/>
        <v>21</v>
      </c>
      <c r="BX195" s="16" t="s">
        <v>454</v>
      </c>
    </row>
    <row r="196" spans="1:76" ht="15" customHeight="1" x14ac:dyDescent="0.3">
      <c r="A196" s="94" t="s">
        <v>631</v>
      </c>
      <c r="B196" s="94" t="s">
        <v>112</v>
      </c>
      <c r="C196" s="94" t="s">
        <v>456</v>
      </c>
      <c r="D196" s="199" t="s">
        <v>457</v>
      </c>
      <c r="E196" s="199"/>
      <c r="F196" s="94" t="s">
        <v>323</v>
      </c>
      <c r="G196" s="96">
        <v>6.58</v>
      </c>
      <c r="H196" s="97"/>
      <c r="I196" s="98">
        <v>21</v>
      </c>
      <c r="J196" s="97">
        <f t="shared" si="166"/>
        <v>0</v>
      </c>
      <c r="K196" s="97">
        <f t="shared" si="167"/>
        <v>0</v>
      </c>
      <c r="L196" s="97">
        <f t="shared" si="168"/>
        <v>0</v>
      </c>
      <c r="M196" s="97">
        <f t="shared" si="169"/>
        <v>0</v>
      </c>
      <c r="N196" s="97">
        <v>0</v>
      </c>
      <c r="O196" s="96">
        <f t="shared" si="170"/>
        <v>0</v>
      </c>
      <c r="P196" s="99" t="s">
        <v>156</v>
      </c>
      <c r="Z196" s="55">
        <f t="shared" si="171"/>
        <v>0</v>
      </c>
      <c r="AB196" s="55">
        <f t="shared" si="172"/>
        <v>0</v>
      </c>
      <c r="AC196" s="55">
        <f t="shared" si="173"/>
        <v>0</v>
      </c>
      <c r="AD196" s="55">
        <f t="shared" si="174"/>
        <v>0</v>
      </c>
      <c r="AE196" s="55">
        <f t="shared" si="175"/>
        <v>0</v>
      </c>
      <c r="AF196" s="55">
        <f t="shared" si="176"/>
        <v>0</v>
      </c>
      <c r="AG196" s="55">
        <f t="shared" si="177"/>
        <v>0</v>
      </c>
      <c r="AH196" s="55">
        <f t="shared" si="178"/>
        <v>0</v>
      </c>
      <c r="AI196" s="75" t="s">
        <v>112</v>
      </c>
      <c r="AJ196" s="55">
        <f t="shared" si="179"/>
        <v>0</v>
      </c>
      <c r="AK196" s="55">
        <f t="shared" si="180"/>
        <v>0</v>
      </c>
      <c r="AL196" s="55">
        <f t="shared" si="181"/>
        <v>0</v>
      </c>
      <c r="AN196" s="55">
        <v>21</v>
      </c>
      <c r="AO196" s="55">
        <f t="shared" si="192"/>
        <v>0</v>
      </c>
      <c r="AP196" s="55">
        <f t="shared" si="193"/>
        <v>0</v>
      </c>
      <c r="AQ196" s="54" t="s">
        <v>179</v>
      </c>
      <c r="AV196" s="55">
        <f t="shared" si="182"/>
        <v>0</v>
      </c>
      <c r="AW196" s="55">
        <f t="shared" si="183"/>
        <v>0</v>
      </c>
      <c r="AX196" s="55">
        <f t="shared" si="184"/>
        <v>0</v>
      </c>
      <c r="AY196" s="54" t="s">
        <v>602</v>
      </c>
      <c r="AZ196" s="54" t="s">
        <v>603</v>
      </c>
      <c r="BA196" s="75" t="s">
        <v>584</v>
      </c>
      <c r="BC196" s="55">
        <f t="shared" si="185"/>
        <v>0</v>
      </c>
      <c r="BD196" s="55">
        <f t="shared" si="186"/>
        <v>0</v>
      </c>
      <c r="BE196" s="55">
        <v>0</v>
      </c>
      <c r="BF196" s="55">
        <f t="shared" si="187"/>
        <v>0</v>
      </c>
      <c r="BH196" s="55">
        <f t="shared" si="188"/>
        <v>0</v>
      </c>
      <c r="BI196" s="55">
        <f t="shared" si="189"/>
        <v>0</v>
      </c>
      <c r="BJ196" s="55">
        <f t="shared" si="190"/>
        <v>0</v>
      </c>
      <c r="BK196" s="54" t="s">
        <v>161</v>
      </c>
      <c r="BL196" s="55">
        <v>56</v>
      </c>
      <c r="BW196" s="55">
        <f t="shared" si="191"/>
        <v>21</v>
      </c>
      <c r="BX196" s="16" t="s">
        <v>457</v>
      </c>
    </row>
    <row r="197" spans="1:76" ht="23.85" customHeight="1" x14ac:dyDescent="0.3">
      <c r="A197" s="94" t="s">
        <v>632</v>
      </c>
      <c r="B197" s="94" t="s">
        <v>112</v>
      </c>
      <c r="C197" s="94" t="s">
        <v>414</v>
      </c>
      <c r="D197" s="199" t="s">
        <v>415</v>
      </c>
      <c r="E197" s="199"/>
      <c r="F197" s="94" t="s">
        <v>323</v>
      </c>
      <c r="G197" s="96">
        <v>0.65800000000000003</v>
      </c>
      <c r="H197" s="97"/>
      <c r="I197" s="98">
        <v>21</v>
      </c>
      <c r="J197" s="97">
        <f t="shared" si="166"/>
        <v>0</v>
      </c>
      <c r="K197" s="97">
        <f t="shared" si="167"/>
        <v>0</v>
      </c>
      <c r="L197" s="97">
        <f t="shared" si="168"/>
        <v>0</v>
      </c>
      <c r="M197" s="97">
        <f t="shared" si="169"/>
        <v>0</v>
      </c>
      <c r="N197" s="97">
        <v>0</v>
      </c>
      <c r="O197" s="96">
        <f t="shared" si="170"/>
        <v>0</v>
      </c>
      <c r="P197" s="99" t="s">
        <v>156</v>
      </c>
      <c r="Z197" s="55">
        <f t="shared" si="171"/>
        <v>0</v>
      </c>
      <c r="AB197" s="55">
        <f t="shared" si="172"/>
        <v>0</v>
      </c>
      <c r="AC197" s="55">
        <f t="shared" si="173"/>
        <v>0</v>
      </c>
      <c r="AD197" s="55">
        <f t="shared" si="174"/>
        <v>0</v>
      </c>
      <c r="AE197" s="55">
        <f t="shared" si="175"/>
        <v>0</v>
      </c>
      <c r="AF197" s="55">
        <f t="shared" si="176"/>
        <v>0</v>
      </c>
      <c r="AG197" s="55">
        <f t="shared" si="177"/>
        <v>0</v>
      </c>
      <c r="AH197" s="55">
        <f t="shared" si="178"/>
        <v>0</v>
      </c>
      <c r="AI197" s="75" t="s">
        <v>112</v>
      </c>
      <c r="AJ197" s="55">
        <f t="shared" si="179"/>
        <v>0</v>
      </c>
      <c r="AK197" s="55">
        <f t="shared" si="180"/>
        <v>0</v>
      </c>
      <c r="AL197" s="55">
        <f t="shared" si="181"/>
        <v>0</v>
      </c>
      <c r="AN197" s="55">
        <v>21</v>
      </c>
      <c r="AO197" s="55">
        <f t="shared" si="192"/>
        <v>0</v>
      </c>
      <c r="AP197" s="55">
        <f t="shared" si="193"/>
        <v>0</v>
      </c>
      <c r="AQ197" s="54" t="s">
        <v>179</v>
      </c>
      <c r="AV197" s="55">
        <f t="shared" si="182"/>
        <v>0</v>
      </c>
      <c r="AW197" s="55">
        <f t="shared" si="183"/>
        <v>0</v>
      </c>
      <c r="AX197" s="55">
        <f t="shared" si="184"/>
        <v>0</v>
      </c>
      <c r="AY197" s="54" t="s">
        <v>602</v>
      </c>
      <c r="AZ197" s="54" t="s">
        <v>603</v>
      </c>
      <c r="BA197" s="75" t="s">
        <v>584</v>
      </c>
      <c r="BC197" s="55">
        <f t="shared" si="185"/>
        <v>0</v>
      </c>
      <c r="BD197" s="55">
        <f t="shared" si="186"/>
        <v>0</v>
      </c>
      <c r="BE197" s="55">
        <v>0</v>
      </c>
      <c r="BF197" s="55">
        <f t="shared" si="187"/>
        <v>0</v>
      </c>
      <c r="BH197" s="55">
        <f t="shared" si="188"/>
        <v>0</v>
      </c>
      <c r="BI197" s="55">
        <f t="shared" si="189"/>
        <v>0</v>
      </c>
      <c r="BJ197" s="55">
        <f t="shared" si="190"/>
        <v>0</v>
      </c>
      <c r="BK197" s="54" t="s">
        <v>161</v>
      </c>
      <c r="BL197" s="55">
        <v>56</v>
      </c>
      <c r="BW197" s="55">
        <f t="shared" si="191"/>
        <v>21</v>
      </c>
      <c r="BX197" s="16" t="s">
        <v>415</v>
      </c>
    </row>
    <row r="198" spans="1:76" ht="15" customHeight="1" x14ac:dyDescent="0.3">
      <c r="A198" s="88"/>
      <c r="B198" s="89" t="s">
        <v>112</v>
      </c>
      <c r="C198" s="89" t="s">
        <v>266</v>
      </c>
      <c r="D198" s="198" t="s">
        <v>267</v>
      </c>
      <c r="E198" s="198"/>
      <c r="F198" s="88" t="s">
        <v>96</v>
      </c>
      <c r="G198" s="90" t="s">
        <v>96</v>
      </c>
      <c r="H198" s="88"/>
      <c r="I198" s="88" t="s">
        <v>96</v>
      </c>
      <c r="J198" s="91">
        <f>SUM(J199:J207)</f>
        <v>0</v>
      </c>
      <c r="K198" s="91">
        <f>SUM(K199:K207)</f>
        <v>0</v>
      </c>
      <c r="L198" s="91">
        <f>SUM(L199:L207)</f>
        <v>0</v>
      </c>
      <c r="M198" s="91">
        <f>SUM(M199:M207)</f>
        <v>0</v>
      </c>
      <c r="N198" s="92"/>
      <c r="O198" s="93">
        <f>SUM(O199:O207)</f>
        <v>2.8560749999999997</v>
      </c>
      <c r="P198" s="92"/>
      <c r="AI198" s="75" t="s">
        <v>112</v>
      </c>
      <c r="AS198" s="68">
        <f>SUM(AJ199:AJ207)</f>
        <v>0</v>
      </c>
      <c r="AT198" s="68">
        <f>SUM(AK199:AK207)</f>
        <v>0</v>
      </c>
      <c r="AU198" s="68">
        <f>SUM(AL199:AL207)</f>
        <v>0</v>
      </c>
    </row>
    <row r="199" spans="1:76" ht="15" customHeight="1" x14ac:dyDescent="0.3">
      <c r="A199" s="94" t="s">
        <v>633</v>
      </c>
      <c r="B199" s="94" t="s">
        <v>112</v>
      </c>
      <c r="C199" s="94" t="s">
        <v>634</v>
      </c>
      <c r="D199" s="199" t="s">
        <v>635</v>
      </c>
      <c r="E199" s="199"/>
      <c r="F199" s="94" t="s">
        <v>176</v>
      </c>
      <c r="G199" s="96">
        <v>117.5</v>
      </c>
      <c r="H199" s="97"/>
      <c r="I199" s="98">
        <v>21</v>
      </c>
      <c r="J199" s="97">
        <f t="shared" ref="J199:J207" si="194">ROUND(G199*AO199,2)</f>
        <v>0</v>
      </c>
      <c r="K199" s="97">
        <f t="shared" ref="K199:K207" si="195">ROUND(G199*AP199,2)</f>
        <v>0</v>
      </c>
      <c r="L199" s="97">
        <f t="shared" ref="L199:L207" si="196">ROUND(G199*H199,2)</f>
        <v>0</v>
      </c>
      <c r="M199" s="97">
        <f t="shared" ref="M199:M207" si="197">L199*(1+BW199/100)</f>
        <v>0</v>
      </c>
      <c r="N199" s="97">
        <v>0</v>
      </c>
      <c r="O199" s="96">
        <f t="shared" ref="O199:O207" si="198">G199*N199</f>
        <v>0</v>
      </c>
      <c r="P199" s="99" t="s">
        <v>156</v>
      </c>
      <c r="Z199" s="55">
        <f t="shared" ref="Z199:Z207" si="199">ROUND(IF(AQ199="5",BJ199,0),2)</f>
        <v>0</v>
      </c>
      <c r="AB199" s="55">
        <f t="shared" ref="AB199:AB207" si="200">ROUND(IF(AQ199="1",BH199,0),2)</f>
        <v>0</v>
      </c>
      <c r="AC199" s="55">
        <f t="shared" ref="AC199:AC207" si="201">ROUND(IF(AQ199="1",BI199,0),2)</f>
        <v>0</v>
      </c>
      <c r="AD199" s="55">
        <f t="shared" ref="AD199:AD207" si="202">ROUND(IF(AQ199="7",BH199,0),2)</f>
        <v>0</v>
      </c>
      <c r="AE199" s="55">
        <f t="shared" ref="AE199:AE207" si="203">ROUND(IF(AQ199="7",BI199,0),2)</f>
        <v>0</v>
      </c>
      <c r="AF199" s="55">
        <f t="shared" ref="AF199:AF207" si="204">ROUND(IF(AQ199="2",BH199,0),2)</f>
        <v>0</v>
      </c>
      <c r="AG199" s="55">
        <f t="shared" ref="AG199:AG207" si="205">ROUND(IF(AQ199="2",BI199,0),2)</f>
        <v>0</v>
      </c>
      <c r="AH199" s="55">
        <f t="shared" ref="AH199:AH207" si="206">ROUND(IF(AQ199="0",BJ199,0),2)</f>
        <v>0</v>
      </c>
      <c r="AI199" s="75" t="s">
        <v>112</v>
      </c>
      <c r="AJ199" s="55">
        <f t="shared" ref="AJ199:AJ207" si="207">IF(AN199=0,L199,0)</f>
        <v>0</v>
      </c>
      <c r="AK199" s="55">
        <f t="shared" ref="AK199:AK207" si="208">IF(AN199=12,L199,0)</f>
        <v>0</v>
      </c>
      <c r="AL199" s="55">
        <f t="shared" ref="AL199:AL207" si="209">IF(AN199=21,L199,0)</f>
        <v>0</v>
      </c>
      <c r="AN199" s="55">
        <v>21</v>
      </c>
      <c r="AO199" s="55">
        <f>H199*0</f>
        <v>0</v>
      </c>
      <c r="AP199" s="55">
        <f>H199*(1-0)</f>
        <v>0</v>
      </c>
      <c r="AQ199" s="54" t="s">
        <v>157</v>
      </c>
      <c r="AV199" s="55">
        <f t="shared" ref="AV199:AV207" si="210">ROUND(AW199+AX199,2)</f>
        <v>0</v>
      </c>
      <c r="AW199" s="55">
        <f t="shared" ref="AW199:AW207" si="211">ROUND(G199*AO199,2)</f>
        <v>0</v>
      </c>
      <c r="AX199" s="55">
        <f t="shared" ref="AX199:AX207" si="212">ROUND(G199*AP199,2)</f>
        <v>0</v>
      </c>
      <c r="AY199" s="54" t="s">
        <v>271</v>
      </c>
      <c r="AZ199" s="54" t="s">
        <v>636</v>
      </c>
      <c r="BA199" s="75" t="s">
        <v>584</v>
      </c>
      <c r="BC199" s="55">
        <f t="shared" ref="BC199:BC207" si="213">AW199+AX199</f>
        <v>0</v>
      </c>
      <c r="BD199" s="55">
        <f t="shared" ref="BD199:BD207" si="214">H199/(100-BE199)*100</f>
        <v>0</v>
      </c>
      <c r="BE199" s="55">
        <v>0</v>
      </c>
      <c r="BF199" s="55">
        <f t="shared" ref="BF199:BF207" si="215">O199</f>
        <v>0</v>
      </c>
      <c r="BH199" s="55">
        <f t="shared" ref="BH199:BH207" si="216">G199*AO199</f>
        <v>0</v>
      </c>
      <c r="BI199" s="55">
        <f t="shared" ref="BI199:BI207" si="217">G199*AP199</f>
        <v>0</v>
      </c>
      <c r="BJ199" s="55">
        <f t="shared" ref="BJ199:BJ207" si="218">G199*H199</f>
        <v>0</v>
      </c>
      <c r="BK199" s="54" t="s">
        <v>161</v>
      </c>
      <c r="BL199" s="55">
        <v>767</v>
      </c>
      <c r="BW199" s="55">
        <f t="shared" ref="BW199:BW207" si="219">I199</f>
        <v>21</v>
      </c>
      <c r="BX199" s="16" t="s">
        <v>635</v>
      </c>
    </row>
    <row r="200" spans="1:76" ht="15" customHeight="1" x14ac:dyDescent="0.3">
      <c r="A200" s="94" t="s">
        <v>637</v>
      </c>
      <c r="B200" s="94" t="s">
        <v>112</v>
      </c>
      <c r="C200" s="94" t="s">
        <v>638</v>
      </c>
      <c r="D200" s="199" t="s">
        <v>639</v>
      </c>
      <c r="E200" s="199"/>
      <c r="F200" s="94" t="s">
        <v>176</v>
      </c>
      <c r="G200" s="96">
        <v>117.5</v>
      </c>
      <c r="H200" s="97"/>
      <c r="I200" s="98">
        <v>21</v>
      </c>
      <c r="J200" s="97">
        <f t="shared" si="194"/>
        <v>0</v>
      </c>
      <c r="K200" s="97">
        <f t="shared" si="195"/>
        <v>0</v>
      </c>
      <c r="L200" s="97">
        <f t="shared" si="196"/>
        <v>0</v>
      </c>
      <c r="M200" s="97">
        <f t="shared" si="197"/>
        <v>0</v>
      </c>
      <c r="N200" s="97">
        <v>9.2499999999999995E-3</v>
      </c>
      <c r="O200" s="96">
        <f t="shared" si="198"/>
        <v>1.086875</v>
      </c>
      <c r="P200" s="99" t="s">
        <v>156</v>
      </c>
      <c r="Z200" s="55">
        <f t="shared" si="199"/>
        <v>0</v>
      </c>
      <c r="AB200" s="55">
        <f t="shared" si="200"/>
        <v>0</v>
      </c>
      <c r="AC200" s="55">
        <f t="shared" si="201"/>
        <v>0</v>
      </c>
      <c r="AD200" s="55">
        <f t="shared" si="202"/>
        <v>0</v>
      </c>
      <c r="AE200" s="55">
        <f t="shared" si="203"/>
        <v>0</v>
      </c>
      <c r="AF200" s="55">
        <f t="shared" si="204"/>
        <v>0</v>
      </c>
      <c r="AG200" s="55">
        <f t="shared" si="205"/>
        <v>0</v>
      </c>
      <c r="AH200" s="55">
        <f t="shared" si="206"/>
        <v>0</v>
      </c>
      <c r="AI200" s="75" t="s">
        <v>112</v>
      </c>
      <c r="AJ200" s="55">
        <f t="shared" si="207"/>
        <v>0</v>
      </c>
      <c r="AK200" s="55">
        <f t="shared" si="208"/>
        <v>0</v>
      </c>
      <c r="AL200" s="55">
        <f t="shared" si="209"/>
        <v>0</v>
      </c>
      <c r="AN200" s="55">
        <v>21</v>
      </c>
      <c r="AO200" s="55">
        <f>H200*0</f>
        <v>0</v>
      </c>
      <c r="AP200" s="55">
        <f>H200*(1-0)</f>
        <v>0</v>
      </c>
      <c r="AQ200" s="54" t="s">
        <v>157</v>
      </c>
      <c r="AV200" s="55">
        <f t="shared" si="210"/>
        <v>0</v>
      </c>
      <c r="AW200" s="55">
        <f t="shared" si="211"/>
        <v>0</v>
      </c>
      <c r="AX200" s="55">
        <f t="shared" si="212"/>
        <v>0</v>
      </c>
      <c r="AY200" s="54" t="s">
        <v>271</v>
      </c>
      <c r="AZ200" s="54" t="s">
        <v>636</v>
      </c>
      <c r="BA200" s="75" t="s">
        <v>584</v>
      </c>
      <c r="BC200" s="55">
        <f t="shared" si="213"/>
        <v>0</v>
      </c>
      <c r="BD200" s="55">
        <f t="shared" si="214"/>
        <v>0</v>
      </c>
      <c r="BE200" s="55">
        <v>0</v>
      </c>
      <c r="BF200" s="55">
        <f t="shared" si="215"/>
        <v>1.086875</v>
      </c>
      <c r="BH200" s="55">
        <f t="shared" si="216"/>
        <v>0</v>
      </c>
      <c r="BI200" s="55">
        <f t="shared" si="217"/>
        <v>0</v>
      </c>
      <c r="BJ200" s="55">
        <f t="shared" si="218"/>
        <v>0</v>
      </c>
      <c r="BK200" s="54" t="s">
        <v>161</v>
      </c>
      <c r="BL200" s="55">
        <v>767</v>
      </c>
      <c r="BW200" s="55">
        <f t="shared" si="219"/>
        <v>21</v>
      </c>
      <c r="BX200" s="16" t="s">
        <v>639</v>
      </c>
    </row>
    <row r="201" spans="1:76" ht="35.1" customHeight="1" x14ac:dyDescent="0.3">
      <c r="A201" s="105" t="s">
        <v>640</v>
      </c>
      <c r="B201" s="105" t="s">
        <v>112</v>
      </c>
      <c r="C201" s="105" t="s">
        <v>641</v>
      </c>
      <c r="D201" s="201" t="s">
        <v>642</v>
      </c>
      <c r="E201" s="201"/>
      <c r="F201" s="105" t="s">
        <v>212</v>
      </c>
      <c r="G201" s="107">
        <v>38</v>
      </c>
      <c r="H201" s="108"/>
      <c r="I201" s="109">
        <v>21</v>
      </c>
      <c r="J201" s="108">
        <f t="shared" si="194"/>
        <v>0</v>
      </c>
      <c r="K201" s="108">
        <f t="shared" si="195"/>
        <v>0</v>
      </c>
      <c r="L201" s="108">
        <f t="shared" si="196"/>
        <v>0</v>
      </c>
      <c r="M201" s="108">
        <f t="shared" si="197"/>
        <v>0</v>
      </c>
      <c r="N201" s="108">
        <v>1.7000000000000001E-2</v>
      </c>
      <c r="O201" s="107">
        <f t="shared" si="198"/>
        <v>0.64600000000000002</v>
      </c>
      <c r="P201" s="110" t="s">
        <v>156</v>
      </c>
      <c r="Z201" s="55">
        <f t="shared" si="199"/>
        <v>0</v>
      </c>
      <c r="AB201" s="55">
        <f t="shared" si="200"/>
        <v>0</v>
      </c>
      <c r="AC201" s="55">
        <f t="shared" si="201"/>
        <v>0</v>
      </c>
      <c r="AD201" s="55">
        <f t="shared" si="202"/>
        <v>0</v>
      </c>
      <c r="AE201" s="55">
        <f t="shared" si="203"/>
        <v>0</v>
      </c>
      <c r="AF201" s="55">
        <f t="shared" si="204"/>
        <v>0</v>
      </c>
      <c r="AG201" s="55">
        <f t="shared" si="205"/>
        <v>0</v>
      </c>
      <c r="AH201" s="55">
        <f t="shared" si="206"/>
        <v>0</v>
      </c>
      <c r="AI201" s="75" t="s">
        <v>112</v>
      </c>
      <c r="AJ201" s="111">
        <f t="shared" si="207"/>
        <v>0</v>
      </c>
      <c r="AK201" s="111">
        <f t="shared" si="208"/>
        <v>0</v>
      </c>
      <c r="AL201" s="111">
        <f t="shared" si="209"/>
        <v>0</v>
      </c>
      <c r="AN201" s="55">
        <v>21</v>
      </c>
      <c r="AO201" s="55">
        <f t="shared" ref="AO201:AO206" si="220">H201*1</f>
        <v>0</v>
      </c>
      <c r="AP201" s="55">
        <f t="shared" ref="AP201:AP206" si="221">H201*(1-1)</f>
        <v>0</v>
      </c>
      <c r="AQ201" s="112" t="s">
        <v>157</v>
      </c>
      <c r="AV201" s="55">
        <f t="shared" si="210"/>
        <v>0</v>
      </c>
      <c r="AW201" s="55">
        <f t="shared" si="211"/>
        <v>0</v>
      </c>
      <c r="AX201" s="55">
        <f t="shared" si="212"/>
        <v>0</v>
      </c>
      <c r="AY201" s="54" t="s">
        <v>271</v>
      </c>
      <c r="AZ201" s="54" t="s">
        <v>636</v>
      </c>
      <c r="BA201" s="75" t="s">
        <v>584</v>
      </c>
      <c r="BC201" s="55">
        <f t="shared" si="213"/>
        <v>0</v>
      </c>
      <c r="BD201" s="55">
        <f t="shared" si="214"/>
        <v>0</v>
      </c>
      <c r="BE201" s="55">
        <v>0</v>
      </c>
      <c r="BF201" s="55">
        <f t="shared" si="215"/>
        <v>0.64600000000000002</v>
      </c>
      <c r="BH201" s="111">
        <f t="shared" si="216"/>
        <v>0</v>
      </c>
      <c r="BI201" s="111">
        <f t="shared" si="217"/>
        <v>0</v>
      </c>
      <c r="BJ201" s="111">
        <f t="shared" si="218"/>
        <v>0</v>
      </c>
      <c r="BK201" s="112" t="s">
        <v>489</v>
      </c>
      <c r="BL201" s="55">
        <v>767</v>
      </c>
      <c r="BW201" s="55">
        <f t="shared" si="219"/>
        <v>21</v>
      </c>
      <c r="BX201" s="113" t="s">
        <v>642</v>
      </c>
    </row>
    <row r="202" spans="1:76" ht="35.1" customHeight="1" x14ac:dyDescent="0.3">
      <c r="A202" s="105" t="s">
        <v>643</v>
      </c>
      <c r="B202" s="105" t="s">
        <v>112</v>
      </c>
      <c r="C202" s="105" t="s">
        <v>644</v>
      </c>
      <c r="D202" s="201" t="s">
        <v>645</v>
      </c>
      <c r="E202" s="201"/>
      <c r="F202" s="105" t="s">
        <v>212</v>
      </c>
      <c r="G202" s="107">
        <v>2</v>
      </c>
      <c r="H202" s="108"/>
      <c r="I202" s="109">
        <v>21</v>
      </c>
      <c r="J202" s="108">
        <f t="shared" si="194"/>
        <v>0</v>
      </c>
      <c r="K202" s="108">
        <f t="shared" si="195"/>
        <v>0</v>
      </c>
      <c r="L202" s="108">
        <f t="shared" si="196"/>
        <v>0</v>
      </c>
      <c r="M202" s="108">
        <f t="shared" si="197"/>
        <v>0</v>
      </c>
      <c r="N202" s="108">
        <v>9.4999999999999998E-3</v>
      </c>
      <c r="O202" s="107">
        <f t="shared" si="198"/>
        <v>1.9E-2</v>
      </c>
      <c r="P202" s="110" t="s">
        <v>156</v>
      </c>
      <c r="Z202" s="55">
        <f t="shared" si="199"/>
        <v>0</v>
      </c>
      <c r="AB202" s="55">
        <f t="shared" si="200"/>
        <v>0</v>
      </c>
      <c r="AC202" s="55">
        <f t="shared" si="201"/>
        <v>0</v>
      </c>
      <c r="AD202" s="55">
        <f t="shared" si="202"/>
        <v>0</v>
      </c>
      <c r="AE202" s="55">
        <f t="shared" si="203"/>
        <v>0</v>
      </c>
      <c r="AF202" s="55">
        <f t="shared" si="204"/>
        <v>0</v>
      </c>
      <c r="AG202" s="55">
        <f t="shared" si="205"/>
        <v>0</v>
      </c>
      <c r="AH202" s="55">
        <f t="shared" si="206"/>
        <v>0</v>
      </c>
      <c r="AI202" s="75" t="s">
        <v>112</v>
      </c>
      <c r="AJ202" s="111">
        <f t="shared" si="207"/>
        <v>0</v>
      </c>
      <c r="AK202" s="111">
        <f t="shared" si="208"/>
        <v>0</v>
      </c>
      <c r="AL202" s="111">
        <f t="shared" si="209"/>
        <v>0</v>
      </c>
      <c r="AN202" s="55">
        <v>21</v>
      </c>
      <c r="AO202" s="55">
        <f t="shared" si="220"/>
        <v>0</v>
      </c>
      <c r="AP202" s="55">
        <f t="shared" si="221"/>
        <v>0</v>
      </c>
      <c r="AQ202" s="112" t="s">
        <v>157</v>
      </c>
      <c r="AV202" s="55">
        <f t="shared" si="210"/>
        <v>0</v>
      </c>
      <c r="AW202" s="55">
        <f t="shared" si="211"/>
        <v>0</v>
      </c>
      <c r="AX202" s="55">
        <f t="shared" si="212"/>
        <v>0</v>
      </c>
      <c r="AY202" s="54" t="s">
        <v>271</v>
      </c>
      <c r="AZ202" s="54" t="s">
        <v>636</v>
      </c>
      <c r="BA202" s="75" t="s">
        <v>584</v>
      </c>
      <c r="BC202" s="55">
        <f t="shared" si="213"/>
        <v>0</v>
      </c>
      <c r="BD202" s="55">
        <f t="shared" si="214"/>
        <v>0</v>
      </c>
      <c r="BE202" s="55">
        <v>0</v>
      </c>
      <c r="BF202" s="55">
        <f t="shared" si="215"/>
        <v>1.9E-2</v>
      </c>
      <c r="BH202" s="111">
        <f t="shared" si="216"/>
        <v>0</v>
      </c>
      <c r="BI202" s="111">
        <f t="shared" si="217"/>
        <v>0</v>
      </c>
      <c r="BJ202" s="111">
        <f t="shared" si="218"/>
        <v>0</v>
      </c>
      <c r="BK202" s="112" t="s">
        <v>489</v>
      </c>
      <c r="BL202" s="55">
        <v>767</v>
      </c>
      <c r="BW202" s="55">
        <f t="shared" si="219"/>
        <v>21</v>
      </c>
      <c r="BX202" s="113" t="s">
        <v>645</v>
      </c>
    </row>
    <row r="203" spans="1:76" ht="35.1" customHeight="1" x14ac:dyDescent="0.3">
      <c r="A203" s="105" t="s">
        <v>646</v>
      </c>
      <c r="B203" s="105" t="s">
        <v>112</v>
      </c>
      <c r="C203" s="105" t="s">
        <v>647</v>
      </c>
      <c r="D203" s="201" t="s">
        <v>648</v>
      </c>
      <c r="E203" s="201"/>
      <c r="F203" s="105" t="s">
        <v>212</v>
      </c>
      <c r="G203" s="107">
        <v>40</v>
      </c>
      <c r="H203" s="108"/>
      <c r="I203" s="109">
        <v>21</v>
      </c>
      <c r="J203" s="108">
        <f t="shared" si="194"/>
        <v>0</v>
      </c>
      <c r="K203" s="108">
        <f t="shared" si="195"/>
        <v>0</v>
      </c>
      <c r="L203" s="108">
        <f t="shared" si="196"/>
        <v>0</v>
      </c>
      <c r="M203" s="108">
        <f t="shared" si="197"/>
        <v>0</v>
      </c>
      <c r="N203" s="108">
        <v>2.6499999999999999E-2</v>
      </c>
      <c r="O203" s="107">
        <f t="shared" si="198"/>
        <v>1.06</v>
      </c>
      <c r="P203" s="110" t="s">
        <v>156</v>
      </c>
      <c r="Z203" s="55">
        <f t="shared" si="199"/>
        <v>0</v>
      </c>
      <c r="AB203" s="55">
        <f t="shared" si="200"/>
        <v>0</v>
      </c>
      <c r="AC203" s="55">
        <f t="shared" si="201"/>
        <v>0</v>
      </c>
      <c r="AD203" s="55">
        <f t="shared" si="202"/>
        <v>0</v>
      </c>
      <c r="AE203" s="55">
        <f t="shared" si="203"/>
        <v>0</v>
      </c>
      <c r="AF203" s="55">
        <f t="shared" si="204"/>
        <v>0</v>
      </c>
      <c r="AG203" s="55">
        <f t="shared" si="205"/>
        <v>0</v>
      </c>
      <c r="AH203" s="55">
        <f t="shared" si="206"/>
        <v>0</v>
      </c>
      <c r="AI203" s="75" t="s">
        <v>112</v>
      </c>
      <c r="AJ203" s="111">
        <f t="shared" si="207"/>
        <v>0</v>
      </c>
      <c r="AK203" s="111">
        <f t="shared" si="208"/>
        <v>0</v>
      </c>
      <c r="AL203" s="111">
        <f t="shared" si="209"/>
        <v>0</v>
      </c>
      <c r="AN203" s="55">
        <v>21</v>
      </c>
      <c r="AO203" s="55">
        <f t="shared" si="220"/>
        <v>0</v>
      </c>
      <c r="AP203" s="55">
        <f t="shared" si="221"/>
        <v>0</v>
      </c>
      <c r="AQ203" s="112" t="s">
        <v>157</v>
      </c>
      <c r="AV203" s="55">
        <f t="shared" si="210"/>
        <v>0</v>
      </c>
      <c r="AW203" s="55">
        <f t="shared" si="211"/>
        <v>0</v>
      </c>
      <c r="AX203" s="55">
        <f t="shared" si="212"/>
        <v>0</v>
      </c>
      <c r="AY203" s="54" t="s">
        <v>271</v>
      </c>
      <c r="AZ203" s="54" t="s">
        <v>636</v>
      </c>
      <c r="BA203" s="75" t="s">
        <v>584</v>
      </c>
      <c r="BC203" s="55">
        <f t="shared" si="213"/>
        <v>0</v>
      </c>
      <c r="BD203" s="55">
        <f t="shared" si="214"/>
        <v>0</v>
      </c>
      <c r="BE203" s="55">
        <v>0</v>
      </c>
      <c r="BF203" s="55">
        <f t="shared" si="215"/>
        <v>1.06</v>
      </c>
      <c r="BH203" s="111">
        <f t="shared" si="216"/>
        <v>0</v>
      </c>
      <c r="BI203" s="111">
        <f t="shared" si="217"/>
        <v>0</v>
      </c>
      <c r="BJ203" s="111">
        <f t="shared" si="218"/>
        <v>0</v>
      </c>
      <c r="BK203" s="112" t="s">
        <v>489</v>
      </c>
      <c r="BL203" s="55">
        <v>767</v>
      </c>
      <c r="BW203" s="55">
        <f t="shared" si="219"/>
        <v>21</v>
      </c>
      <c r="BX203" s="113" t="s">
        <v>648</v>
      </c>
    </row>
    <row r="204" spans="1:76" ht="35.1" customHeight="1" x14ac:dyDescent="0.3">
      <c r="A204" s="105" t="s">
        <v>649</v>
      </c>
      <c r="B204" s="105" t="s">
        <v>112</v>
      </c>
      <c r="C204" s="105" t="s">
        <v>650</v>
      </c>
      <c r="D204" s="201" t="s">
        <v>651</v>
      </c>
      <c r="E204" s="201"/>
      <c r="F204" s="105" t="s">
        <v>212</v>
      </c>
      <c r="G204" s="107">
        <v>1</v>
      </c>
      <c r="H204" s="108"/>
      <c r="I204" s="109">
        <v>21</v>
      </c>
      <c r="J204" s="108">
        <f t="shared" si="194"/>
        <v>0</v>
      </c>
      <c r="K204" s="108">
        <f t="shared" si="195"/>
        <v>0</v>
      </c>
      <c r="L204" s="108">
        <f t="shared" si="196"/>
        <v>0</v>
      </c>
      <c r="M204" s="108">
        <f t="shared" si="197"/>
        <v>0</v>
      </c>
      <c r="N204" s="108">
        <v>2.0000000000000001E-4</v>
      </c>
      <c r="O204" s="107">
        <f t="shared" si="198"/>
        <v>2.0000000000000001E-4</v>
      </c>
      <c r="P204" s="110" t="s">
        <v>156</v>
      </c>
      <c r="Z204" s="55">
        <f t="shared" si="199"/>
        <v>0</v>
      </c>
      <c r="AB204" s="55">
        <f t="shared" si="200"/>
        <v>0</v>
      </c>
      <c r="AC204" s="55">
        <f t="shared" si="201"/>
        <v>0</v>
      </c>
      <c r="AD204" s="55">
        <f t="shared" si="202"/>
        <v>0</v>
      </c>
      <c r="AE204" s="55">
        <f t="shared" si="203"/>
        <v>0</v>
      </c>
      <c r="AF204" s="55">
        <f t="shared" si="204"/>
        <v>0</v>
      </c>
      <c r="AG204" s="55">
        <f t="shared" si="205"/>
        <v>0</v>
      </c>
      <c r="AH204" s="55">
        <f t="shared" si="206"/>
        <v>0</v>
      </c>
      <c r="AI204" s="75" t="s">
        <v>112</v>
      </c>
      <c r="AJ204" s="111">
        <f t="shared" si="207"/>
        <v>0</v>
      </c>
      <c r="AK204" s="111">
        <f t="shared" si="208"/>
        <v>0</v>
      </c>
      <c r="AL204" s="111">
        <f t="shared" si="209"/>
        <v>0</v>
      </c>
      <c r="AN204" s="55">
        <v>21</v>
      </c>
      <c r="AO204" s="55">
        <f t="shared" si="220"/>
        <v>0</v>
      </c>
      <c r="AP204" s="55">
        <f t="shared" si="221"/>
        <v>0</v>
      </c>
      <c r="AQ204" s="112" t="s">
        <v>157</v>
      </c>
      <c r="AV204" s="55">
        <f t="shared" si="210"/>
        <v>0</v>
      </c>
      <c r="AW204" s="55">
        <f t="shared" si="211"/>
        <v>0</v>
      </c>
      <c r="AX204" s="55">
        <f t="shared" si="212"/>
        <v>0</v>
      </c>
      <c r="AY204" s="54" t="s">
        <v>271</v>
      </c>
      <c r="AZ204" s="54" t="s">
        <v>636</v>
      </c>
      <c r="BA204" s="75" t="s">
        <v>584</v>
      </c>
      <c r="BC204" s="55">
        <f t="shared" si="213"/>
        <v>0</v>
      </c>
      <c r="BD204" s="55">
        <f t="shared" si="214"/>
        <v>0</v>
      </c>
      <c r="BE204" s="55">
        <v>0</v>
      </c>
      <c r="BF204" s="55">
        <f t="shared" si="215"/>
        <v>2.0000000000000001E-4</v>
      </c>
      <c r="BH204" s="111">
        <f t="shared" si="216"/>
        <v>0</v>
      </c>
      <c r="BI204" s="111">
        <f t="shared" si="217"/>
        <v>0</v>
      </c>
      <c r="BJ204" s="111">
        <f t="shared" si="218"/>
        <v>0</v>
      </c>
      <c r="BK204" s="112" t="s">
        <v>489</v>
      </c>
      <c r="BL204" s="55">
        <v>767</v>
      </c>
      <c r="BW204" s="55">
        <f t="shared" si="219"/>
        <v>21</v>
      </c>
      <c r="BX204" s="113" t="s">
        <v>651</v>
      </c>
    </row>
    <row r="205" spans="1:76" ht="35.1" customHeight="1" x14ac:dyDescent="0.3">
      <c r="A205" s="105" t="s">
        <v>652</v>
      </c>
      <c r="B205" s="105" t="s">
        <v>112</v>
      </c>
      <c r="C205" s="105" t="s">
        <v>653</v>
      </c>
      <c r="D205" s="201" t="s">
        <v>654</v>
      </c>
      <c r="E205" s="201"/>
      <c r="F205" s="105" t="s">
        <v>212</v>
      </c>
      <c r="G205" s="107">
        <v>80</v>
      </c>
      <c r="H205" s="108"/>
      <c r="I205" s="109">
        <v>21</v>
      </c>
      <c r="J205" s="108">
        <f t="shared" si="194"/>
        <v>0</v>
      </c>
      <c r="K205" s="108">
        <f t="shared" si="195"/>
        <v>0</v>
      </c>
      <c r="L205" s="108">
        <f t="shared" si="196"/>
        <v>0</v>
      </c>
      <c r="M205" s="108">
        <f t="shared" si="197"/>
        <v>0</v>
      </c>
      <c r="N205" s="108">
        <v>5.0000000000000001E-4</v>
      </c>
      <c r="O205" s="107">
        <f t="shared" si="198"/>
        <v>0.04</v>
      </c>
      <c r="P205" s="110" t="s">
        <v>156</v>
      </c>
      <c r="Z205" s="55">
        <f t="shared" si="199"/>
        <v>0</v>
      </c>
      <c r="AB205" s="55">
        <f t="shared" si="200"/>
        <v>0</v>
      </c>
      <c r="AC205" s="55">
        <f t="shared" si="201"/>
        <v>0</v>
      </c>
      <c r="AD205" s="55">
        <f t="shared" si="202"/>
        <v>0</v>
      </c>
      <c r="AE205" s="55">
        <f t="shared" si="203"/>
        <v>0</v>
      </c>
      <c r="AF205" s="55">
        <f t="shared" si="204"/>
        <v>0</v>
      </c>
      <c r="AG205" s="55">
        <f t="shared" si="205"/>
        <v>0</v>
      </c>
      <c r="AH205" s="55">
        <f t="shared" si="206"/>
        <v>0</v>
      </c>
      <c r="AI205" s="75" t="s">
        <v>112</v>
      </c>
      <c r="AJ205" s="111">
        <f t="shared" si="207"/>
        <v>0</v>
      </c>
      <c r="AK205" s="111">
        <f t="shared" si="208"/>
        <v>0</v>
      </c>
      <c r="AL205" s="111">
        <f t="shared" si="209"/>
        <v>0</v>
      </c>
      <c r="AN205" s="55">
        <v>21</v>
      </c>
      <c r="AO205" s="55">
        <f t="shared" si="220"/>
        <v>0</v>
      </c>
      <c r="AP205" s="55">
        <f t="shared" si="221"/>
        <v>0</v>
      </c>
      <c r="AQ205" s="112" t="s">
        <v>157</v>
      </c>
      <c r="AV205" s="55">
        <f t="shared" si="210"/>
        <v>0</v>
      </c>
      <c r="AW205" s="55">
        <f t="shared" si="211"/>
        <v>0</v>
      </c>
      <c r="AX205" s="55">
        <f t="shared" si="212"/>
        <v>0</v>
      </c>
      <c r="AY205" s="54" t="s">
        <v>271</v>
      </c>
      <c r="AZ205" s="54" t="s">
        <v>636</v>
      </c>
      <c r="BA205" s="75" t="s">
        <v>584</v>
      </c>
      <c r="BC205" s="55">
        <f t="shared" si="213"/>
        <v>0</v>
      </c>
      <c r="BD205" s="55">
        <f t="shared" si="214"/>
        <v>0</v>
      </c>
      <c r="BE205" s="55">
        <v>0</v>
      </c>
      <c r="BF205" s="55">
        <f t="shared" si="215"/>
        <v>0.04</v>
      </c>
      <c r="BH205" s="111">
        <f t="shared" si="216"/>
        <v>0</v>
      </c>
      <c r="BI205" s="111">
        <f t="shared" si="217"/>
        <v>0</v>
      </c>
      <c r="BJ205" s="111">
        <f t="shared" si="218"/>
        <v>0</v>
      </c>
      <c r="BK205" s="112" t="s">
        <v>489</v>
      </c>
      <c r="BL205" s="55">
        <v>767</v>
      </c>
      <c r="BW205" s="55">
        <f t="shared" si="219"/>
        <v>21</v>
      </c>
      <c r="BX205" s="113" t="s">
        <v>654</v>
      </c>
    </row>
    <row r="206" spans="1:76" ht="23.85" customHeight="1" x14ac:dyDescent="0.3">
      <c r="A206" s="105" t="s">
        <v>655</v>
      </c>
      <c r="B206" s="105" t="s">
        <v>112</v>
      </c>
      <c r="C206" s="105" t="s">
        <v>656</v>
      </c>
      <c r="D206" s="201" t="s">
        <v>657</v>
      </c>
      <c r="E206" s="201"/>
      <c r="F206" s="105" t="s">
        <v>212</v>
      </c>
      <c r="G206" s="107">
        <v>4</v>
      </c>
      <c r="H206" s="108"/>
      <c r="I206" s="109">
        <v>21</v>
      </c>
      <c r="J206" s="108">
        <f t="shared" si="194"/>
        <v>0</v>
      </c>
      <c r="K206" s="108">
        <f t="shared" si="195"/>
        <v>0</v>
      </c>
      <c r="L206" s="108">
        <f t="shared" si="196"/>
        <v>0</v>
      </c>
      <c r="M206" s="108">
        <f t="shared" si="197"/>
        <v>0</v>
      </c>
      <c r="N206" s="108">
        <v>1E-3</v>
      </c>
      <c r="O206" s="107">
        <f t="shared" si="198"/>
        <v>4.0000000000000001E-3</v>
      </c>
      <c r="P206" s="110" t="s">
        <v>156</v>
      </c>
      <c r="Z206" s="55">
        <f t="shared" si="199"/>
        <v>0</v>
      </c>
      <c r="AB206" s="55">
        <f t="shared" si="200"/>
        <v>0</v>
      </c>
      <c r="AC206" s="55">
        <f t="shared" si="201"/>
        <v>0</v>
      </c>
      <c r="AD206" s="55">
        <f t="shared" si="202"/>
        <v>0</v>
      </c>
      <c r="AE206" s="55">
        <f t="shared" si="203"/>
        <v>0</v>
      </c>
      <c r="AF206" s="55">
        <f t="shared" si="204"/>
        <v>0</v>
      </c>
      <c r="AG206" s="55">
        <f t="shared" si="205"/>
        <v>0</v>
      </c>
      <c r="AH206" s="55">
        <f t="shared" si="206"/>
        <v>0</v>
      </c>
      <c r="AI206" s="75" t="s">
        <v>112</v>
      </c>
      <c r="AJ206" s="111">
        <f t="shared" si="207"/>
        <v>0</v>
      </c>
      <c r="AK206" s="111">
        <f t="shared" si="208"/>
        <v>0</v>
      </c>
      <c r="AL206" s="111">
        <f t="shared" si="209"/>
        <v>0</v>
      </c>
      <c r="AN206" s="55">
        <v>21</v>
      </c>
      <c r="AO206" s="55">
        <f t="shared" si="220"/>
        <v>0</v>
      </c>
      <c r="AP206" s="55">
        <f t="shared" si="221"/>
        <v>0</v>
      </c>
      <c r="AQ206" s="112" t="s">
        <v>157</v>
      </c>
      <c r="AV206" s="55">
        <f t="shared" si="210"/>
        <v>0</v>
      </c>
      <c r="AW206" s="55">
        <f t="shared" si="211"/>
        <v>0</v>
      </c>
      <c r="AX206" s="55">
        <f t="shared" si="212"/>
        <v>0</v>
      </c>
      <c r="AY206" s="54" t="s">
        <v>271</v>
      </c>
      <c r="AZ206" s="54" t="s">
        <v>636</v>
      </c>
      <c r="BA206" s="75" t="s">
        <v>584</v>
      </c>
      <c r="BC206" s="55">
        <f t="shared" si="213"/>
        <v>0</v>
      </c>
      <c r="BD206" s="55">
        <f t="shared" si="214"/>
        <v>0</v>
      </c>
      <c r="BE206" s="55">
        <v>0</v>
      </c>
      <c r="BF206" s="55">
        <f t="shared" si="215"/>
        <v>4.0000000000000001E-3</v>
      </c>
      <c r="BH206" s="111">
        <f t="shared" si="216"/>
        <v>0</v>
      </c>
      <c r="BI206" s="111">
        <f t="shared" si="217"/>
        <v>0</v>
      </c>
      <c r="BJ206" s="111">
        <f t="shared" si="218"/>
        <v>0</v>
      </c>
      <c r="BK206" s="112" t="s">
        <v>489</v>
      </c>
      <c r="BL206" s="55">
        <v>767</v>
      </c>
      <c r="BW206" s="55">
        <f t="shared" si="219"/>
        <v>21</v>
      </c>
      <c r="BX206" s="113" t="s">
        <v>657</v>
      </c>
    </row>
    <row r="207" spans="1:76" ht="15" customHeight="1" x14ac:dyDescent="0.3">
      <c r="A207" s="94" t="s">
        <v>658</v>
      </c>
      <c r="B207" s="94" t="s">
        <v>112</v>
      </c>
      <c r="C207" s="94" t="s">
        <v>659</v>
      </c>
      <c r="D207" s="199" t="s">
        <v>660</v>
      </c>
      <c r="E207" s="199"/>
      <c r="F207" s="94" t="s">
        <v>323</v>
      </c>
      <c r="G207" s="96">
        <v>2.8559999999999999</v>
      </c>
      <c r="H207" s="97"/>
      <c r="I207" s="98">
        <v>21</v>
      </c>
      <c r="J207" s="97">
        <f t="shared" si="194"/>
        <v>0</v>
      </c>
      <c r="K207" s="97">
        <f t="shared" si="195"/>
        <v>0</v>
      </c>
      <c r="L207" s="97">
        <f t="shared" si="196"/>
        <v>0</v>
      </c>
      <c r="M207" s="97">
        <f t="shared" si="197"/>
        <v>0</v>
      </c>
      <c r="N207" s="97">
        <v>0</v>
      </c>
      <c r="O207" s="96">
        <f t="shared" si="198"/>
        <v>0</v>
      </c>
      <c r="P207" s="99" t="s">
        <v>156</v>
      </c>
      <c r="Z207" s="55">
        <f t="shared" si="199"/>
        <v>0</v>
      </c>
      <c r="AB207" s="55">
        <f t="shared" si="200"/>
        <v>0</v>
      </c>
      <c r="AC207" s="55">
        <f t="shared" si="201"/>
        <v>0</v>
      </c>
      <c r="AD207" s="55">
        <f t="shared" si="202"/>
        <v>0</v>
      </c>
      <c r="AE207" s="55">
        <f t="shared" si="203"/>
        <v>0</v>
      </c>
      <c r="AF207" s="55">
        <f t="shared" si="204"/>
        <v>0</v>
      </c>
      <c r="AG207" s="55">
        <f t="shared" si="205"/>
        <v>0</v>
      </c>
      <c r="AH207" s="55">
        <f t="shared" si="206"/>
        <v>0</v>
      </c>
      <c r="AI207" s="75" t="s">
        <v>112</v>
      </c>
      <c r="AJ207" s="55">
        <f t="shared" si="207"/>
        <v>0</v>
      </c>
      <c r="AK207" s="55">
        <f t="shared" si="208"/>
        <v>0</v>
      </c>
      <c r="AL207" s="55">
        <f t="shared" si="209"/>
        <v>0</v>
      </c>
      <c r="AN207" s="55">
        <v>21</v>
      </c>
      <c r="AO207" s="55">
        <f>H207*0</f>
        <v>0</v>
      </c>
      <c r="AP207" s="55">
        <f>H207*(1-0)</f>
        <v>0</v>
      </c>
      <c r="AQ207" s="54" t="s">
        <v>179</v>
      </c>
      <c r="AV207" s="55">
        <f t="shared" si="210"/>
        <v>0</v>
      </c>
      <c r="AW207" s="55">
        <f t="shared" si="211"/>
        <v>0</v>
      </c>
      <c r="AX207" s="55">
        <f t="shared" si="212"/>
        <v>0</v>
      </c>
      <c r="AY207" s="54" t="s">
        <v>271</v>
      </c>
      <c r="AZ207" s="54" t="s">
        <v>636</v>
      </c>
      <c r="BA207" s="75" t="s">
        <v>584</v>
      </c>
      <c r="BC207" s="55">
        <f t="shared" si="213"/>
        <v>0</v>
      </c>
      <c r="BD207" s="55">
        <f t="shared" si="214"/>
        <v>0</v>
      </c>
      <c r="BE207" s="55">
        <v>0</v>
      </c>
      <c r="BF207" s="55">
        <f t="shared" si="215"/>
        <v>0</v>
      </c>
      <c r="BH207" s="55">
        <f t="shared" si="216"/>
        <v>0</v>
      </c>
      <c r="BI207" s="55">
        <f t="shared" si="217"/>
        <v>0</v>
      </c>
      <c r="BJ207" s="55">
        <f t="shared" si="218"/>
        <v>0</v>
      </c>
      <c r="BK207" s="54" t="s">
        <v>161</v>
      </c>
      <c r="BL207" s="55">
        <v>767</v>
      </c>
      <c r="BW207" s="55">
        <f t="shared" si="219"/>
        <v>21</v>
      </c>
      <c r="BX207" s="16" t="s">
        <v>660</v>
      </c>
    </row>
    <row r="208" spans="1:76" ht="15" customHeight="1" x14ac:dyDescent="0.3">
      <c r="A208" s="88"/>
      <c r="B208" s="89" t="s">
        <v>112</v>
      </c>
      <c r="C208" s="89" t="s">
        <v>661</v>
      </c>
      <c r="D208" s="198" t="s">
        <v>662</v>
      </c>
      <c r="E208" s="198"/>
      <c r="F208" s="88" t="s">
        <v>96</v>
      </c>
      <c r="G208" s="90" t="s">
        <v>96</v>
      </c>
      <c r="H208" s="88"/>
      <c r="I208" s="88" t="s">
        <v>96</v>
      </c>
      <c r="J208" s="91">
        <f>SUM(J209:J212)</f>
        <v>0</v>
      </c>
      <c r="K208" s="91">
        <f>SUM(K209:K212)</f>
        <v>0</v>
      </c>
      <c r="L208" s="91">
        <f>SUM(L209:L212)</f>
        <v>0</v>
      </c>
      <c r="M208" s="91">
        <f>SUM(M209:M212)</f>
        <v>0</v>
      </c>
      <c r="N208" s="92"/>
      <c r="O208" s="93">
        <f>SUM(O209:O212)</f>
        <v>0</v>
      </c>
      <c r="P208" s="92"/>
      <c r="AI208" s="75" t="s">
        <v>112</v>
      </c>
      <c r="AS208" s="68">
        <f>SUM(AJ209:AJ212)</f>
        <v>0</v>
      </c>
      <c r="AT208" s="68">
        <f>SUM(AK209:AK212)</f>
        <v>0</v>
      </c>
      <c r="AU208" s="68">
        <f>SUM(AL209:AL212)</f>
        <v>0</v>
      </c>
    </row>
    <row r="209" spans="1:76" ht="15" customHeight="1" x14ac:dyDescent="0.3">
      <c r="A209" s="94" t="s">
        <v>663</v>
      </c>
      <c r="B209" s="94" t="s">
        <v>112</v>
      </c>
      <c r="C209" s="94" t="s">
        <v>664</v>
      </c>
      <c r="D209" s="199" t="s">
        <v>665</v>
      </c>
      <c r="E209" s="199"/>
      <c r="F209" s="94" t="s">
        <v>323</v>
      </c>
      <c r="G209" s="96">
        <v>5.25</v>
      </c>
      <c r="H209" s="97"/>
      <c r="I209" s="98">
        <v>21</v>
      </c>
      <c r="J209" s="97">
        <f>ROUND(G209*AO209,2)</f>
        <v>0</v>
      </c>
      <c r="K209" s="97">
        <f>ROUND(G209*AP209,2)</f>
        <v>0</v>
      </c>
      <c r="L209" s="97">
        <f>ROUND(G209*H209,2)</f>
        <v>0</v>
      </c>
      <c r="M209" s="97">
        <f>L209*(1+BW209/100)</f>
        <v>0</v>
      </c>
      <c r="N209" s="97">
        <v>0</v>
      </c>
      <c r="O209" s="96">
        <f>G209*N209</f>
        <v>0</v>
      </c>
      <c r="P209" s="99" t="s">
        <v>156</v>
      </c>
      <c r="Z209" s="55">
        <f>ROUND(IF(AQ209="5",BJ209,0),2)</f>
        <v>0</v>
      </c>
      <c r="AB209" s="55">
        <f>ROUND(IF(AQ209="1",BH209,0),2)</f>
        <v>0</v>
      </c>
      <c r="AC209" s="55">
        <f>ROUND(IF(AQ209="1",BI209,0),2)</f>
        <v>0</v>
      </c>
      <c r="AD209" s="55">
        <f>ROUND(IF(AQ209="7",BH209,0),2)</f>
        <v>0</v>
      </c>
      <c r="AE209" s="55">
        <f>ROUND(IF(AQ209="7",BI209,0),2)</f>
        <v>0</v>
      </c>
      <c r="AF209" s="55">
        <f>ROUND(IF(AQ209="2",BH209,0),2)</f>
        <v>0</v>
      </c>
      <c r="AG209" s="55">
        <f>ROUND(IF(AQ209="2",BI209,0),2)</f>
        <v>0</v>
      </c>
      <c r="AH209" s="55">
        <f>ROUND(IF(AQ209="0",BJ209,0),2)</f>
        <v>0</v>
      </c>
      <c r="AI209" s="75" t="s">
        <v>112</v>
      </c>
      <c r="AJ209" s="55">
        <f>IF(AN209=0,L209,0)</f>
        <v>0</v>
      </c>
      <c r="AK209" s="55">
        <f>IF(AN209=12,L209,0)</f>
        <v>0</v>
      </c>
      <c r="AL209" s="55">
        <f>IF(AN209=21,L209,0)</f>
        <v>0</v>
      </c>
      <c r="AN209" s="55">
        <v>21</v>
      </c>
      <c r="AO209" s="55">
        <f>H209*0</f>
        <v>0</v>
      </c>
      <c r="AP209" s="55">
        <f>H209*(1-0)</f>
        <v>0</v>
      </c>
      <c r="AQ209" s="54" t="s">
        <v>179</v>
      </c>
      <c r="AV209" s="55">
        <f>ROUND(AW209+AX209,2)</f>
        <v>0</v>
      </c>
      <c r="AW209" s="55">
        <f>ROUND(G209*AO209,2)</f>
        <v>0</v>
      </c>
      <c r="AX209" s="55">
        <f>ROUND(G209*AP209,2)</f>
        <v>0</v>
      </c>
      <c r="AY209" s="54" t="s">
        <v>666</v>
      </c>
      <c r="AZ209" s="54" t="s">
        <v>667</v>
      </c>
      <c r="BA209" s="75" t="s">
        <v>584</v>
      </c>
      <c r="BC209" s="55">
        <f>AW209+AX209</f>
        <v>0</v>
      </c>
      <c r="BD209" s="55">
        <f>H209/(100-BE209)*100</f>
        <v>0</v>
      </c>
      <c r="BE209" s="55">
        <v>0</v>
      </c>
      <c r="BF209" s="55">
        <f>O209</f>
        <v>0</v>
      </c>
      <c r="BH209" s="55">
        <f>G209*AO209</f>
        <v>0</v>
      </c>
      <c r="BI209" s="55">
        <f>G209*AP209</f>
        <v>0</v>
      </c>
      <c r="BJ209" s="55">
        <f>G209*H209</f>
        <v>0</v>
      </c>
      <c r="BK209" s="54" t="s">
        <v>161</v>
      </c>
      <c r="BL209" s="55"/>
      <c r="BW209" s="55">
        <f>I209</f>
        <v>21</v>
      </c>
      <c r="BX209" s="16" t="s">
        <v>665</v>
      </c>
    </row>
    <row r="210" spans="1:76" ht="15" customHeight="1" x14ac:dyDescent="0.3">
      <c r="A210" s="94" t="s">
        <v>668</v>
      </c>
      <c r="B210" s="94" t="s">
        <v>112</v>
      </c>
      <c r="C210" s="94" t="s">
        <v>669</v>
      </c>
      <c r="D210" s="199" t="s">
        <v>670</v>
      </c>
      <c r="E210" s="199"/>
      <c r="F210" s="94" t="s">
        <v>323</v>
      </c>
      <c r="G210" s="96">
        <v>52.5</v>
      </c>
      <c r="H210" s="97"/>
      <c r="I210" s="98">
        <v>21</v>
      </c>
      <c r="J210" s="97">
        <f>ROUND(G210*AO210,2)</f>
        <v>0</v>
      </c>
      <c r="K210" s="97">
        <f>ROUND(G210*AP210,2)</f>
        <v>0</v>
      </c>
      <c r="L210" s="97">
        <f>ROUND(G210*H210,2)</f>
        <v>0</v>
      </c>
      <c r="M210" s="97">
        <f>L210*(1+BW210/100)</f>
        <v>0</v>
      </c>
      <c r="N210" s="97">
        <v>0</v>
      </c>
      <c r="O210" s="96">
        <f>G210*N210</f>
        <v>0</v>
      </c>
      <c r="P210" s="99" t="s">
        <v>156</v>
      </c>
      <c r="Z210" s="55">
        <f>ROUND(IF(AQ210="5",BJ210,0),2)</f>
        <v>0</v>
      </c>
      <c r="AB210" s="55">
        <f>ROUND(IF(AQ210="1",BH210,0),2)</f>
        <v>0</v>
      </c>
      <c r="AC210" s="55">
        <f>ROUND(IF(AQ210="1",BI210,0),2)</f>
        <v>0</v>
      </c>
      <c r="AD210" s="55">
        <f>ROUND(IF(AQ210="7",BH210,0),2)</f>
        <v>0</v>
      </c>
      <c r="AE210" s="55">
        <f>ROUND(IF(AQ210="7",BI210,0),2)</f>
        <v>0</v>
      </c>
      <c r="AF210" s="55">
        <f>ROUND(IF(AQ210="2",BH210,0),2)</f>
        <v>0</v>
      </c>
      <c r="AG210" s="55">
        <f>ROUND(IF(AQ210="2",BI210,0),2)</f>
        <v>0</v>
      </c>
      <c r="AH210" s="55">
        <f>ROUND(IF(AQ210="0",BJ210,0),2)</f>
        <v>0</v>
      </c>
      <c r="AI210" s="75" t="s">
        <v>112</v>
      </c>
      <c r="AJ210" s="55">
        <f>IF(AN210=0,L210,0)</f>
        <v>0</v>
      </c>
      <c r="AK210" s="55">
        <f>IF(AN210=12,L210,0)</f>
        <v>0</v>
      </c>
      <c r="AL210" s="55">
        <f>IF(AN210=21,L210,0)</f>
        <v>0</v>
      </c>
      <c r="AN210" s="55">
        <v>21</v>
      </c>
      <c r="AO210" s="55">
        <f>H210*0</f>
        <v>0</v>
      </c>
      <c r="AP210" s="55">
        <f>H210*(1-0)</f>
        <v>0</v>
      </c>
      <c r="AQ210" s="54" t="s">
        <v>179</v>
      </c>
      <c r="AV210" s="55">
        <f>ROUND(AW210+AX210,2)</f>
        <v>0</v>
      </c>
      <c r="AW210" s="55">
        <f>ROUND(G210*AO210,2)</f>
        <v>0</v>
      </c>
      <c r="AX210" s="55">
        <f>ROUND(G210*AP210,2)</f>
        <v>0</v>
      </c>
      <c r="AY210" s="54" t="s">
        <v>666</v>
      </c>
      <c r="AZ210" s="54" t="s">
        <v>667</v>
      </c>
      <c r="BA210" s="75" t="s">
        <v>584</v>
      </c>
      <c r="BC210" s="55">
        <f>AW210+AX210</f>
        <v>0</v>
      </c>
      <c r="BD210" s="55">
        <f>H210/(100-BE210)*100</f>
        <v>0</v>
      </c>
      <c r="BE210" s="55">
        <v>0</v>
      </c>
      <c r="BF210" s="55">
        <f>O210</f>
        <v>0</v>
      </c>
      <c r="BH210" s="55">
        <f>G210*AO210</f>
        <v>0</v>
      </c>
      <c r="BI210" s="55">
        <f>G210*AP210</f>
        <v>0</v>
      </c>
      <c r="BJ210" s="55">
        <f>G210*H210</f>
        <v>0</v>
      </c>
      <c r="BK210" s="54" t="s">
        <v>161</v>
      </c>
      <c r="BL210" s="55"/>
      <c r="BW210" s="55">
        <f>I210</f>
        <v>21</v>
      </c>
      <c r="BX210" s="16" t="s">
        <v>670</v>
      </c>
    </row>
    <row r="211" spans="1:76" ht="23.85" customHeight="1" x14ac:dyDescent="0.3">
      <c r="A211" s="94" t="s">
        <v>671</v>
      </c>
      <c r="B211" s="94" t="s">
        <v>112</v>
      </c>
      <c r="C211" s="94" t="s">
        <v>672</v>
      </c>
      <c r="D211" s="199" t="s">
        <v>673</v>
      </c>
      <c r="E211" s="199"/>
      <c r="F211" s="94" t="s">
        <v>674</v>
      </c>
      <c r="G211" s="96">
        <v>1</v>
      </c>
      <c r="H211" s="97"/>
      <c r="I211" s="98">
        <v>21</v>
      </c>
      <c r="J211" s="97">
        <f>ROUND(G211*AO211,2)</f>
        <v>0</v>
      </c>
      <c r="K211" s="97">
        <f>ROUND(G211*AP211,2)</f>
        <v>0</v>
      </c>
      <c r="L211" s="97">
        <f>ROUND(G211*H211,2)</f>
        <v>0</v>
      </c>
      <c r="M211" s="97">
        <f>L211*(1+BW211/100)</f>
        <v>0</v>
      </c>
      <c r="N211" s="97">
        <v>0</v>
      </c>
      <c r="O211" s="96">
        <f>G211*N211</f>
        <v>0</v>
      </c>
      <c r="P211" s="99" t="s">
        <v>156</v>
      </c>
      <c r="Z211" s="55">
        <f>ROUND(IF(AQ211="5",BJ211,0),2)</f>
        <v>0</v>
      </c>
      <c r="AB211" s="55">
        <f>ROUND(IF(AQ211="1",BH211,0),2)</f>
        <v>0</v>
      </c>
      <c r="AC211" s="55">
        <f>ROUND(IF(AQ211="1",BI211,0),2)</f>
        <v>0</v>
      </c>
      <c r="AD211" s="55">
        <f>ROUND(IF(AQ211="7",BH211,0),2)</f>
        <v>0</v>
      </c>
      <c r="AE211" s="55">
        <f>ROUND(IF(AQ211="7",BI211,0),2)</f>
        <v>0</v>
      </c>
      <c r="AF211" s="55">
        <f>ROUND(IF(AQ211="2",BH211,0),2)</f>
        <v>0</v>
      </c>
      <c r="AG211" s="55">
        <f>ROUND(IF(AQ211="2",BI211,0),2)</f>
        <v>0</v>
      </c>
      <c r="AH211" s="55">
        <f>ROUND(IF(AQ211="0",BJ211,0),2)</f>
        <v>0</v>
      </c>
      <c r="AI211" s="75" t="s">
        <v>112</v>
      </c>
      <c r="AJ211" s="55">
        <f>IF(AN211=0,L211,0)</f>
        <v>0</v>
      </c>
      <c r="AK211" s="55">
        <f>IF(AN211=12,L211,0)</f>
        <v>0</v>
      </c>
      <c r="AL211" s="55">
        <f>IF(AN211=21,L211,0)</f>
        <v>0</v>
      </c>
      <c r="AN211" s="55">
        <v>21</v>
      </c>
      <c r="AO211" s="55">
        <f>H211*0</f>
        <v>0</v>
      </c>
      <c r="AP211" s="55">
        <f>H211*(1-0)</f>
        <v>0</v>
      </c>
      <c r="AQ211" s="54" t="s">
        <v>152</v>
      </c>
      <c r="AV211" s="55">
        <f>ROUND(AW211+AX211,2)</f>
        <v>0</v>
      </c>
      <c r="AW211" s="55">
        <f>ROUND(G211*AO211,2)</f>
        <v>0</v>
      </c>
      <c r="AX211" s="55">
        <f>ROUND(G211*AP211,2)</f>
        <v>0</v>
      </c>
      <c r="AY211" s="54" t="s">
        <v>666</v>
      </c>
      <c r="AZ211" s="54" t="s">
        <v>667</v>
      </c>
      <c r="BA211" s="75" t="s">
        <v>584</v>
      </c>
      <c r="BC211" s="55">
        <f>AW211+AX211</f>
        <v>0</v>
      </c>
      <c r="BD211" s="55">
        <f>H211/(100-BE211)*100</f>
        <v>0</v>
      </c>
      <c r="BE211" s="55">
        <v>0</v>
      </c>
      <c r="BF211" s="55">
        <f>O211</f>
        <v>0</v>
      </c>
      <c r="BH211" s="55">
        <f>G211*AO211</f>
        <v>0</v>
      </c>
      <c r="BI211" s="55">
        <f>G211*AP211</f>
        <v>0</v>
      </c>
      <c r="BJ211" s="55">
        <f>G211*H211</f>
        <v>0</v>
      </c>
      <c r="BK211" s="54" t="s">
        <v>161</v>
      </c>
      <c r="BL211" s="55"/>
      <c r="BW211" s="55">
        <f>I211</f>
        <v>21</v>
      </c>
      <c r="BX211" s="16" t="s">
        <v>673</v>
      </c>
    </row>
    <row r="212" spans="1:76" ht="23.85" customHeight="1" x14ac:dyDescent="0.3">
      <c r="A212" s="94" t="s">
        <v>675</v>
      </c>
      <c r="B212" s="94" t="s">
        <v>112</v>
      </c>
      <c r="C212" s="94" t="s">
        <v>676</v>
      </c>
      <c r="D212" s="199" t="s">
        <v>677</v>
      </c>
      <c r="E212" s="199"/>
      <c r="F212" s="94" t="s">
        <v>674</v>
      </c>
      <c r="G212" s="96">
        <v>1</v>
      </c>
      <c r="H212" s="97"/>
      <c r="I212" s="98">
        <v>21</v>
      </c>
      <c r="J212" s="97">
        <f>ROUND(G212*AO212,2)</f>
        <v>0</v>
      </c>
      <c r="K212" s="97">
        <f>ROUND(G212*AP212,2)</f>
        <v>0</v>
      </c>
      <c r="L212" s="97">
        <f>ROUND(G212*H212,2)</f>
        <v>0</v>
      </c>
      <c r="M212" s="97">
        <f>L212*(1+BW212/100)</f>
        <v>0</v>
      </c>
      <c r="N212" s="97">
        <v>0</v>
      </c>
      <c r="O212" s="96">
        <f>G212*N212</f>
        <v>0</v>
      </c>
      <c r="P212" s="99" t="s">
        <v>156</v>
      </c>
      <c r="Z212" s="55">
        <f>ROUND(IF(AQ212="5",BJ212,0),2)</f>
        <v>0</v>
      </c>
      <c r="AB212" s="55">
        <f>ROUND(IF(AQ212="1",BH212,0),2)</f>
        <v>0</v>
      </c>
      <c r="AC212" s="55">
        <f>ROUND(IF(AQ212="1",BI212,0),2)</f>
        <v>0</v>
      </c>
      <c r="AD212" s="55">
        <f>ROUND(IF(AQ212="7",BH212,0),2)</f>
        <v>0</v>
      </c>
      <c r="AE212" s="55">
        <f>ROUND(IF(AQ212="7",BI212,0),2)</f>
        <v>0</v>
      </c>
      <c r="AF212" s="55">
        <f>ROUND(IF(AQ212="2",BH212,0),2)</f>
        <v>0</v>
      </c>
      <c r="AG212" s="55">
        <f>ROUND(IF(AQ212="2",BI212,0),2)</f>
        <v>0</v>
      </c>
      <c r="AH212" s="55">
        <f>ROUND(IF(AQ212="0",BJ212,0),2)</f>
        <v>0</v>
      </c>
      <c r="AI212" s="75" t="s">
        <v>112</v>
      </c>
      <c r="AJ212" s="55">
        <f>IF(AN212=0,L212,0)</f>
        <v>0</v>
      </c>
      <c r="AK212" s="55">
        <f>IF(AN212=12,L212,0)</f>
        <v>0</v>
      </c>
      <c r="AL212" s="55">
        <f>IF(AN212=21,L212,0)</f>
        <v>0</v>
      </c>
      <c r="AN212" s="55">
        <v>21</v>
      </c>
      <c r="AO212" s="55">
        <f>H212*0</f>
        <v>0</v>
      </c>
      <c r="AP212" s="55">
        <f>H212*(1-0)</f>
        <v>0</v>
      </c>
      <c r="AQ212" s="54" t="s">
        <v>152</v>
      </c>
      <c r="AV212" s="55">
        <f>ROUND(AW212+AX212,2)</f>
        <v>0</v>
      </c>
      <c r="AW212" s="55">
        <f>ROUND(G212*AO212,2)</f>
        <v>0</v>
      </c>
      <c r="AX212" s="55">
        <f>ROUND(G212*AP212,2)</f>
        <v>0</v>
      </c>
      <c r="AY212" s="54" t="s">
        <v>666</v>
      </c>
      <c r="AZ212" s="54" t="s">
        <v>667</v>
      </c>
      <c r="BA212" s="75" t="s">
        <v>584</v>
      </c>
      <c r="BC212" s="55">
        <f>AW212+AX212</f>
        <v>0</v>
      </c>
      <c r="BD212" s="55">
        <f>H212/(100-BE212)*100</f>
        <v>0</v>
      </c>
      <c r="BE212" s="55">
        <v>0</v>
      </c>
      <c r="BF212" s="55">
        <f>O212</f>
        <v>0</v>
      </c>
      <c r="BH212" s="55">
        <f>G212*AO212</f>
        <v>0</v>
      </c>
      <c r="BI212" s="55">
        <f>G212*AP212</f>
        <v>0</v>
      </c>
      <c r="BJ212" s="55">
        <f>G212*H212</f>
        <v>0</v>
      </c>
      <c r="BK212" s="54" t="s">
        <v>161</v>
      </c>
      <c r="BL212" s="55"/>
      <c r="BW212" s="55">
        <f>I212</f>
        <v>21</v>
      </c>
      <c r="BX212" s="16" t="s">
        <v>677</v>
      </c>
    </row>
    <row r="213" spans="1:76" ht="15" customHeight="1" x14ac:dyDescent="0.3">
      <c r="A213" s="88"/>
      <c r="B213" s="89" t="s">
        <v>112</v>
      </c>
      <c r="C213" s="89" t="s">
        <v>548</v>
      </c>
      <c r="D213" s="198" t="s">
        <v>549</v>
      </c>
      <c r="E213" s="198"/>
      <c r="F213" s="88" t="s">
        <v>96</v>
      </c>
      <c r="G213" s="90" t="s">
        <v>96</v>
      </c>
      <c r="H213" s="88"/>
      <c r="I213" s="88" t="s">
        <v>96</v>
      </c>
      <c r="J213" s="91">
        <f>SUM(J214:J215)</f>
        <v>0</v>
      </c>
      <c r="K213" s="91">
        <f>SUM(K214:K215)</f>
        <v>0</v>
      </c>
      <c r="L213" s="91">
        <f>SUM(L214:L215)</f>
        <v>0</v>
      </c>
      <c r="M213" s="91">
        <f>SUM(M214:M215)</f>
        <v>0</v>
      </c>
      <c r="N213" s="92"/>
      <c r="O213" s="93">
        <f>SUM(O214:O215)</f>
        <v>6.6000000000000003E-2</v>
      </c>
      <c r="P213" s="92"/>
      <c r="AI213" s="75" t="s">
        <v>112</v>
      </c>
      <c r="AS213" s="68">
        <f>SUM(AJ214:AJ215)</f>
        <v>0</v>
      </c>
      <c r="AT213" s="68">
        <f>SUM(AK214:AK215)</f>
        <v>0</v>
      </c>
      <c r="AU213" s="68">
        <f>SUM(AL214:AL215)</f>
        <v>0</v>
      </c>
    </row>
    <row r="214" spans="1:76" ht="23.85" customHeight="1" x14ac:dyDescent="0.3">
      <c r="A214" s="94" t="s">
        <v>678</v>
      </c>
      <c r="B214" s="94" t="s">
        <v>112</v>
      </c>
      <c r="C214" s="94" t="s">
        <v>679</v>
      </c>
      <c r="D214" s="199" t="s">
        <v>680</v>
      </c>
      <c r="E214" s="199"/>
      <c r="F214" s="94" t="s">
        <v>212</v>
      </c>
      <c r="G214" s="96">
        <v>1</v>
      </c>
      <c r="H214" s="97"/>
      <c r="I214" s="98">
        <v>21</v>
      </c>
      <c r="J214" s="97">
        <f>ROUND(G214*AO214,2)</f>
        <v>0</v>
      </c>
      <c r="K214" s="97">
        <f>ROUND(G214*AP214,2)</f>
        <v>0</v>
      </c>
      <c r="L214" s="97">
        <f>ROUND(G214*H214,2)</f>
        <v>0</v>
      </c>
      <c r="M214" s="97">
        <f>L214*(1+BW214/100)</f>
        <v>0</v>
      </c>
      <c r="N214" s="97">
        <v>0</v>
      </c>
      <c r="O214" s="96">
        <f>G214*N214</f>
        <v>0</v>
      </c>
      <c r="P214" s="99" t="s">
        <v>156</v>
      </c>
      <c r="Z214" s="55">
        <f>ROUND(IF(AQ214="5",BJ214,0),2)</f>
        <v>0</v>
      </c>
      <c r="AB214" s="55">
        <f>ROUND(IF(AQ214="1",BH214,0),2)</f>
        <v>0</v>
      </c>
      <c r="AC214" s="55">
        <f>ROUND(IF(AQ214="1",BI214,0),2)</f>
        <v>0</v>
      </c>
      <c r="AD214" s="55">
        <f>ROUND(IF(AQ214="7",BH214,0),2)</f>
        <v>0</v>
      </c>
      <c r="AE214" s="55">
        <f>ROUND(IF(AQ214="7",BI214,0),2)</f>
        <v>0</v>
      </c>
      <c r="AF214" s="55">
        <f>ROUND(IF(AQ214="2",BH214,0),2)</f>
        <v>0</v>
      </c>
      <c r="AG214" s="55">
        <f>ROUND(IF(AQ214="2",BI214,0),2)</f>
        <v>0</v>
      </c>
      <c r="AH214" s="55">
        <f>ROUND(IF(AQ214="0",BJ214,0),2)</f>
        <v>0</v>
      </c>
      <c r="AI214" s="75" t="s">
        <v>112</v>
      </c>
      <c r="AJ214" s="55">
        <f>IF(AN214=0,L214,0)</f>
        <v>0</v>
      </c>
      <c r="AK214" s="55">
        <f>IF(AN214=12,L214,0)</f>
        <v>0</v>
      </c>
      <c r="AL214" s="55">
        <f>IF(AN214=21,L214,0)</f>
        <v>0</v>
      </c>
      <c r="AN214" s="55">
        <v>21</v>
      </c>
      <c r="AO214" s="55">
        <f>H214*0.003124752</f>
        <v>0</v>
      </c>
      <c r="AP214" s="55">
        <f>H214*(1-0.003124752)</f>
        <v>0</v>
      </c>
      <c r="AQ214" s="54" t="s">
        <v>162</v>
      </c>
      <c r="AV214" s="55">
        <f>ROUND(AW214+AX214,2)</f>
        <v>0</v>
      </c>
      <c r="AW214" s="55">
        <f>ROUND(G214*AO214,2)</f>
        <v>0</v>
      </c>
      <c r="AX214" s="55">
        <f>ROUND(G214*AP214,2)</f>
        <v>0</v>
      </c>
      <c r="AY214" s="54" t="s">
        <v>553</v>
      </c>
      <c r="AZ214" s="54" t="s">
        <v>667</v>
      </c>
      <c r="BA214" s="75" t="s">
        <v>584</v>
      </c>
      <c r="BC214" s="55">
        <f>AW214+AX214</f>
        <v>0</v>
      </c>
      <c r="BD214" s="55">
        <f>H214/(100-BE214)*100</f>
        <v>0</v>
      </c>
      <c r="BE214" s="55">
        <v>0</v>
      </c>
      <c r="BF214" s="55">
        <f>O214</f>
        <v>0</v>
      </c>
      <c r="BH214" s="55">
        <f>G214*AO214</f>
        <v>0</v>
      </c>
      <c r="BI214" s="55">
        <f>G214*AP214</f>
        <v>0</v>
      </c>
      <c r="BJ214" s="55">
        <f>G214*H214</f>
        <v>0</v>
      </c>
      <c r="BK214" s="54" t="s">
        <v>161</v>
      </c>
      <c r="BL214" s="55"/>
      <c r="BW214" s="55">
        <f>I214</f>
        <v>21</v>
      </c>
      <c r="BX214" s="16" t="s">
        <v>680</v>
      </c>
    </row>
    <row r="215" spans="1:76" ht="23.85" customHeight="1" x14ac:dyDescent="0.3">
      <c r="A215" s="105" t="s">
        <v>681</v>
      </c>
      <c r="B215" s="105" t="s">
        <v>112</v>
      </c>
      <c r="C215" s="105" t="s">
        <v>682</v>
      </c>
      <c r="D215" s="201" t="s">
        <v>683</v>
      </c>
      <c r="E215" s="201"/>
      <c r="F215" s="105" t="s">
        <v>212</v>
      </c>
      <c r="G215" s="107">
        <v>1</v>
      </c>
      <c r="H215" s="108"/>
      <c r="I215" s="109">
        <v>21</v>
      </c>
      <c r="J215" s="108">
        <f>ROUND(G215*AO215,2)</f>
        <v>0</v>
      </c>
      <c r="K215" s="108">
        <f>ROUND(G215*AP215,2)</f>
        <v>0</v>
      </c>
      <c r="L215" s="108">
        <f>ROUND(G215*H215,2)</f>
        <v>0</v>
      </c>
      <c r="M215" s="108">
        <f>L215*(1+BW215/100)</f>
        <v>0</v>
      </c>
      <c r="N215" s="108">
        <v>6.6000000000000003E-2</v>
      </c>
      <c r="O215" s="107">
        <f>G215*N215</f>
        <v>6.6000000000000003E-2</v>
      </c>
      <c r="P215" s="110" t="s">
        <v>156</v>
      </c>
      <c r="Z215" s="55">
        <f>ROUND(IF(AQ215="5",BJ215,0),2)</f>
        <v>0</v>
      </c>
      <c r="AB215" s="55">
        <f>ROUND(IF(AQ215="1",BH215,0),2)</f>
        <v>0</v>
      </c>
      <c r="AC215" s="55">
        <f>ROUND(IF(AQ215="1",BI215,0),2)</f>
        <v>0</v>
      </c>
      <c r="AD215" s="55">
        <f>ROUND(IF(AQ215="7",BH215,0),2)</f>
        <v>0</v>
      </c>
      <c r="AE215" s="55">
        <f>ROUND(IF(AQ215="7",BI215,0),2)</f>
        <v>0</v>
      </c>
      <c r="AF215" s="55">
        <f>ROUND(IF(AQ215="2",BH215,0),2)</f>
        <v>0</v>
      </c>
      <c r="AG215" s="55">
        <f>ROUND(IF(AQ215="2",BI215,0),2)</f>
        <v>0</v>
      </c>
      <c r="AH215" s="55">
        <f>ROUND(IF(AQ215="0",BJ215,0),2)</f>
        <v>0</v>
      </c>
      <c r="AI215" s="75" t="s">
        <v>112</v>
      </c>
      <c r="AJ215" s="111">
        <f>IF(AN215=0,L215,0)</f>
        <v>0</v>
      </c>
      <c r="AK215" s="111">
        <f>IF(AN215=12,L215,0)</f>
        <v>0</v>
      </c>
      <c r="AL215" s="111">
        <f>IF(AN215=21,L215,0)</f>
        <v>0</v>
      </c>
      <c r="AN215" s="55">
        <v>21</v>
      </c>
      <c r="AO215" s="55">
        <f>H215*1</f>
        <v>0</v>
      </c>
      <c r="AP215" s="55">
        <f>H215*(1-1)</f>
        <v>0</v>
      </c>
      <c r="AQ215" s="112" t="s">
        <v>152</v>
      </c>
      <c r="AV215" s="55">
        <f>ROUND(AW215+AX215,2)</f>
        <v>0</v>
      </c>
      <c r="AW215" s="55">
        <f>ROUND(G215*AO215,2)</f>
        <v>0</v>
      </c>
      <c r="AX215" s="55">
        <f>ROUND(G215*AP215,2)</f>
        <v>0</v>
      </c>
      <c r="AY215" s="54" t="s">
        <v>553</v>
      </c>
      <c r="AZ215" s="54" t="s">
        <v>667</v>
      </c>
      <c r="BA215" s="75" t="s">
        <v>584</v>
      </c>
      <c r="BC215" s="55">
        <f>AW215+AX215</f>
        <v>0</v>
      </c>
      <c r="BD215" s="55">
        <f>H215/(100-BE215)*100</f>
        <v>0</v>
      </c>
      <c r="BE215" s="55">
        <v>0</v>
      </c>
      <c r="BF215" s="55">
        <f>O215</f>
        <v>6.6000000000000003E-2</v>
      </c>
      <c r="BH215" s="111">
        <f>G215*AO215</f>
        <v>0</v>
      </c>
      <c r="BI215" s="111">
        <f>G215*AP215</f>
        <v>0</v>
      </c>
      <c r="BJ215" s="111">
        <f>G215*H215</f>
        <v>0</v>
      </c>
      <c r="BK215" s="112" t="s">
        <v>489</v>
      </c>
      <c r="BL215" s="55"/>
      <c r="BW215" s="55">
        <f>I215</f>
        <v>21</v>
      </c>
      <c r="BX215" s="113" t="s">
        <v>683</v>
      </c>
    </row>
    <row r="216" spans="1:76" ht="19.8" customHeight="1" x14ac:dyDescent="0.3">
      <c r="J216" s="191" t="s">
        <v>113</v>
      </c>
      <c r="K216" s="191"/>
      <c r="L216" s="129">
        <f>ROUND(L13+L16+L18+L22+L25+L32+L35+L37+L40+L42+L48+L51+L53+L62+L68+L85+L89+L93+L117+L119+L122+L125+L128+L130+L135+L140+L142+L149+L152+L156+L158+L162+L165+L170+L178+L180+L184+L198+L208+L213,1)</f>
        <v>0</v>
      </c>
      <c r="M216" s="129">
        <f>ROUND(M13+M16+M18+M22+M25+M32+M35+M37+M40+M42+M48+M51+M53+M62+M68+M85+M89+M93+M117+M119+M122+M125+M128+M130+M135+M140+M142+M149+M152+M156+M158+M162+M165+M170+M178+M180+M184+M198+M208+M213,1)</f>
        <v>0</v>
      </c>
    </row>
    <row r="217" spans="1:76" x14ac:dyDescent="0.3">
      <c r="A217"/>
    </row>
    <row r="218" spans="1:76" hidden="1" x14ac:dyDescent="0.3">
      <c r="A218" s="8"/>
      <c r="B218" s="8"/>
      <c r="C218" s="8"/>
      <c r="D218" s="8"/>
      <c r="E218" s="8"/>
      <c r="F218" s="8"/>
      <c r="G218" s="8"/>
      <c r="H218" s="8"/>
      <c r="I218" s="8"/>
      <c r="J218" s="8"/>
      <c r="K218" s="8"/>
      <c r="L218" s="8"/>
      <c r="M218" s="8"/>
      <c r="N218" s="8"/>
      <c r="O218" s="8"/>
      <c r="P218" s="8"/>
    </row>
  </sheetData>
  <mergeCells count="235">
    <mergeCell ref="D215:E215"/>
    <mergeCell ref="J216:K216"/>
    <mergeCell ref="A218:P218"/>
    <mergeCell ref="D206:E206"/>
    <mergeCell ref="D207:E207"/>
    <mergeCell ref="D208:E208"/>
    <mergeCell ref="D209:E209"/>
    <mergeCell ref="D210:E210"/>
    <mergeCell ref="D211:E211"/>
    <mergeCell ref="D212:E212"/>
    <mergeCell ref="D213:E213"/>
    <mergeCell ref="D214:E214"/>
    <mergeCell ref="D197:E197"/>
    <mergeCell ref="D198:E198"/>
    <mergeCell ref="D199:E199"/>
    <mergeCell ref="D200:E200"/>
    <mergeCell ref="D201:E201"/>
    <mergeCell ref="D202:E202"/>
    <mergeCell ref="D203:E203"/>
    <mergeCell ref="D204:E204"/>
    <mergeCell ref="D205:E205"/>
    <mergeCell ref="D188:E188"/>
    <mergeCell ref="D189:E189"/>
    <mergeCell ref="D190:E190"/>
    <mergeCell ref="D191:E191"/>
    <mergeCell ref="D192:E192"/>
    <mergeCell ref="D193:E193"/>
    <mergeCell ref="D194:E194"/>
    <mergeCell ref="D195:E195"/>
    <mergeCell ref="D196:E196"/>
    <mergeCell ref="D179:E179"/>
    <mergeCell ref="D180:E180"/>
    <mergeCell ref="D181:E181"/>
    <mergeCell ref="D182:E182"/>
    <mergeCell ref="D183:E183"/>
    <mergeCell ref="D184:E184"/>
    <mergeCell ref="D185:E185"/>
    <mergeCell ref="D186:E186"/>
    <mergeCell ref="D187:E187"/>
    <mergeCell ref="D170:E170"/>
    <mergeCell ref="D171:E171"/>
    <mergeCell ref="D172:E172"/>
    <mergeCell ref="D173:E173"/>
    <mergeCell ref="D174:E174"/>
    <mergeCell ref="D175:E175"/>
    <mergeCell ref="D176:E176"/>
    <mergeCell ref="D177:E177"/>
    <mergeCell ref="D178:E178"/>
    <mergeCell ref="D161:E161"/>
    <mergeCell ref="D162:E162"/>
    <mergeCell ref="D163:E163"/>
    <mergeCell ref="D164:E164"/>
    <mergeCell ref="D165:E165"/>
    <mergeCell ref="D166:E166"/>
    <mergeCell ref="D167:E167"/>
    <mergeCell ref="D168:E168"/>
    <mergeCell ref="D169:E169"/>
    <mergeCell ref="D152:E152"/>
    <mergeCell ref="D153:E153"/>
    <mergeCell ref="D154:E154"/>
    <mergeCell ref="D155:E155"/>
    <mergeCell ref="D156:E156"/>
    <mergeCell ref="D157:E157"/>
    <mergeCell ref="D158:E158"/>
    <mergeCell ref="D159:E159"/>
    <mergeCell ref="D160:E160"/>
    <mergeCell ref="D143:E143"/>
    <mergeCell ref="D144:E144"/>
    <mergeCell ref="D145:E145"/>
    <mergeCell ref="D146:E146"/>
    <mergeCell ref="D147:E147"/>
    <mergeCell ref="D148:E148"/>
    <mergeCell ref="D149:E149"/>
    <mergeCell ref="D150:E150"/>
    <mergeCell ref="D151:E151"/>
    <mergeCell ref="D134:E134"/>
    <mergeCell ref="D135:E135"/>
    <mergeCell ref="D136:E136"/>
    <mergeCell ref="D137:E137"/>
    <mergeCell ref="D138:E138"/>
    <mergeCell ref="D139:E139"/>
    <mergeCell ref="D140:E140"/>
    <mergeCell ref="D141:E141"/>
    <mergeCell ref="D142:E142"/>
    <mergeCell ref="D125:E125"/>
    <mergeCell ref="D126:E126"/>
    <mergeCell ref="D127:E127"/>
    <mergeCell ref="D128:E128"/>
    <mergeCell ref="D129:E129"/>
    <mergeCell ref="D130:E130"/>
    <mergeCell ref="D131:E131"/>
    <mergeCell ref="D132:E132"/>
    <mergeCell ref="D133:E133"/>
    <mergeCell ref="D116:E116"/>
    <mergeCell ref="D117:E117"/>
    <mergeCell ref="D118:E118"/>
    <mergeCell ref="D119:E119"/>
    <mergeCell ref="D120:E120"/>
    <mergeCell ref="D121:E121"/>
    <mergeCell ref="D122:E122"/>
    <mergeCell ref="D123:E123"/>
    <mergeCell ref="D124:E124"/>
    <mergeCell ref="D107:E107"/>
    <mergeCell ref="D108:E108"/>
    <mergeCell ref="D109:E109"/>
    <mergeCell ref="D110:E110"/>
    <mergeCell ref="D111:E111"/>
    <mergeCell ref="D112:E112"/>
    <mergeCell ref="D113:E113"/>
    <mergeCell ref="D114:E114"/>
    <mergeCell ref="D115:E115"/>
    <mergeCell ref="D98:E98"/>
    <mergeCell ref="D99:E99"/>
    <mergeCell ref="D100:E100"/>
    <mergeCell ref="D101:E101"/>
    <mergeCell ref="D102:E102"/>
    <mergeCell ref="D103:E103"/>
    <mergeCell ref="D104:E104"/>
    <mergeCell ref="D105:E105"/>
    <mergeCell ref="D106:E106"/>
    <mergeCell ref="D89:E89"/>
    <mergeCell ref="D90:E90"/>
    <mergeCell ref="D91:E91"/>
    <mergeCell ref="D92:E92"/>
    <mergeCell ref="D93:E93"/>
    <mergeCell ref="D94:E94"/>
    <mergeCell ref="D95:E95"/>
    <mergeCell ref="D96:E96"/>
    <mergeCell ref="D97:E97"/>
    <mergeCell ref="D80:E80"/>
    <mergeCell ref="D81:E81"/>
    <mergeCell ref="D82:E82"/>
    <mergeCell ref="D83:E83"/>
    <mergeCell ref="D84:E84"/>
    <mergeCell ref="D85:E85"/>
    <mergeCell ref="D86:E86"/>
    <mergeCell ref="D87:E87"/>
    <mergeCell ref="D88:E88"/>
    <mergeCell ref="D71:E71"/>
    <mergeCell ref="D72:E72"/>
    <mergeCell ref="D73:E73"/>
    <mergeCell ref="D74:E74"/>
    <mergeCell ref="D75:E75"/>
    <mergeCell ref="D76:E76"/>
    <mergeCell ref="D77:E77"/>
    <mergeCell ref="D78:E78"/>
    <mergeCell ref="D79:E79"/>
    <mergeCell ref="D62:E62"/>
    <mergeCell ref="D63:E63"/>
    <mergeCell ref="D64:E64"/>
    <mergeCell ref="D65:E65"/>
    <mergeCell ref="D66:E66"/>
    <mergeCell ref="D67:E67"/>
    <mergeCell ref="D68:E68"/>
    <mergeCell ref="D69:E69"/>
    <mergeCell ref="D70:E70"/>
    <mergeCell ref="D53:E53"/>
    <mergeCell ref="D54:E54"/>
    <mergeCell ref="D55:E55"/>
    <mergeCell ref="D56:E56"/>
    <mergeCell ref="D57:E57"/>
    <mergeCell ref="D58:E58"/>
    <mergeCell ref="D59:E59"/>
    <mergeCell ref="D60:E60"/>
    <mergeCell ref="D61:E61"/>
    <mergeCell ref="D44:E44"/>
    <mergeCell ref="D45:E45"/>
    <mergeCell ref="D46:E46"/>
    <mergeCell ref="D47:E47"/>
    <mergeCell ref="D48:E48"/>
    <mergeCell ref="D49:E49"/>
    <mergeCell ref="D50:E50"/>
    <mergeCell ref="D51:E51"/>
    <mergeCell ref="D52:E52"/>
    <mergeCell ref="D35:E35"/>
    <mergeCell ref="D36:E36"/>
    <mergeCell ref="D37:E37"/>
    <mergeCell ref="D38:E38"/>
    <mergeCell ref="D39:E39"/>
    <mergeCell ref="D40:E40"/>
    <mergeCell ref="D41:E41"/>
    <mergeCell ref="D42:E42"/>
    <mergeCell ref="D43:E43"/>
    <mergeCell ref="D26:E26"/>
    <mergeCell ref="D27:E27"/>
    <mergeCell ref="D28:E28"/>
    <mergeCell ref="D29:E29"/>
    <mergeCell ref="D30:E30"/>
    <mergeCell ref="D31:E31"/>
    <mergeCell ref="D32:E32"/>
    <mergeCell ref="D33:E33"/>
    <mergeCell ref="D34:E34"/>
    <mergeCell ref="D17:E17"/>
    <mergeCell ref="D18:E18"/>
    <mergeCell ref="D19:E19"/>
    <mergeCell ref="D20:E20"/>
    <mergeCell ref="D21:E21"/>
    <mergeCell ref="D22:E22"/>
    <mergeCell ref="D23:E23"/>
    <mergeCell ref="D24:E24"/>
    <mergeCell ref="D25:E25"/>
    <mergeCell ref="D10:E10"/>
    <mergeCell ref="J10:L10"/>
    <mergeCell ref="N10:O10"/>
    <mergeCell ref="D11:E11"/>
    <mergeCell ref="D12:E12"/>
    <mergeCell ref="D13:E13"/>
    <mergeCell ref="D14:E14"/>
    <mergeCell ref="D15:E15"/>
    <mergeCell ref="D16:E16"/>
    <mergeCell ref="A6:C7"/>
    <mergeCell ref="D6:E7"/>
    <mergeCell ref="F6:G7"/>
    <mergeCell ref="H6:H7"/>
    <mergeCell ref="I6:I7"/>
    <mergeCell ref="J6:P7"/>
    <mergeCell ref="A8:C9"/>
    <mergeCell ref="D8:E9"/>
    <mergeCell ref="F8:G9"/>
    <mergeCell ref="H8:H9"/>
    <mergeCell ref="I8:I9"/>
    <mergeCell ref="J8:P9"/>
    <mergeCell ref="A1:M1"/>
    <mergeCell ref="A2:C3"/>
    <mergeCell ref="D2:E3"/>
    <mergeCell ref="F2:G3"/>
    <mergeCell ref="H2:H3"/>
    <mergeCell ref="I2:I3"/>
    <mergeCell ref="J2:P3"/>
    <mergeCell ref="A4:C5"/>
    <mergeCell ref="D4:E5"/>
    <mergeCell ref="F4:G5"/>
    <mergeCell ref="H4:H5"/>
    <mergeCell ref="I4:I5"/>
    <mergeCell ref="J4:P5"/>
  </mergeCells>
  <pageMargins left="0.39374999999999999" right="0.39374999999999999" top="0.59097222222222201" bottom="0.75763888888888897" header="0.511811023622047" footer="0.59097222222222201"/>
  <pageSetup firstPageNumber="4" fitToHeight="6" orientation="landscape" useFirstPageNumber="1" horizontalDpi="300" verticalDpi="300"/>
  <headerFooter>
    <oddFooter>&amp;C&amp;"Times New Roman,obyčejné"&amp;12&amp;F, Stránka &amp;P</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808080"/>
    <pageSetUpPr fitToPage="1"/>
  </sheetPr>
  <dimension ref="A1:H395"/>
  <sheetViews>
    <sheetView zoomScaleNormal="100" workbookViewId="0">
      <selection activeCell="D326" sqref="D326"/>
    </sheetView>
  </sheetViews>
  <sheetFormatPr defaultColWidth="12.109375" defaultRowHeight="14.4" x14ac:dyDescent="0.3"/>
  <cols>
    <col min="1" max="2" width="9.109375" style="22" customWidth="1"/>
    <col min="3" max="3" width="14.33203125" style="22" customWidth="1"/>
    <col min="4" max="4" width="56.44140625" style="65" customWidth="1"/>
    <col min="5" max="5" width="37.6640625" style="22" customWidth="1"/>
    <col min="6" max="6" width="24.109375" style="22" customWidth="1"/>
    <col min="7" max="7" width="15.6640625" style="22" customWidth="1"/>
    <col min="8" max="8" width="20" style="22" customWidth="1"/>
  </cols>
  <sheetData>
    <row r="1" spans="1:8" ht="39.75" customHeight="1" x14ac:dyDescent="0.25">
      <c r="A1" s="205" t="s">
        <v>684</v>
      </c>
      <c r="B1" s="205"/>
      <c r="C1" s="205"/>
      <c r="D1" s="205"/>
      <c r="E1" s="205"/>
      <c r="F1" s="205"/>
      <c r="G1" s="205"/>
      <c r="H1" s="205"/>
    </row>
    <row r="2" spans="1:8" ht="15" customHeight="1" x14ac:dyDescent="0.25">
      <c r="A2" s="13" t="s">
        <v>1</v>
      </c>
      <c r="B2" s="13"/>
      <c r="C2" s="12" t="str">
        <f>'Stavební rozpočet'!D2</f>
        <v>DEMOLICE PANELOVÉHO DOMU V HORNÍM PARKU</v>
      </c>
      <c r="D2" s="12"/>
      <c r="E2" s="11" t="s">
        <v>2</v>
      </c>
      <c r="F2" s="181" t="str">
        <f>'Stavební rozpočet'!J2</f>
        <v>MĚSTO ZNOJMO</v>
      </c>
      <c r="G2" s="181"/>
      <c r="H2" s="181"/>
    </row>
    <row r="3" spans="1:8" ht="13.2" x14ac:dyDescent="0.25">
      <c r="A3" s="13"/>
      <c r="B3" s="13"/>
      <c r="C3" s="12"/>
      <c r="D3" s="12"/>
      <c r="E3" s="11"/>
      <c r="F3" s="11"/>
      <c r="G3" s="181"/>
      <c r="H3" s="181"/>
    </row>
    <row r="4" spans="1:8" ht="15" customHeight="1" x14ac:dyDescent="0.25">
      <c r="A4" s="9" t="s">
        <v>4</v>
      </c>
      <c r="B4" s="9"/>
      <c r="C4" s="8" t="str">
        <f>'Stavební rozpočet'!D4</f>
        <v>Postupná demolice panelového domu</v>
      </c>
      <c r="D4" s="8"/>
      <c r="E4" s="8" t="s">
        <v>5</v>
      </c>
      <c r="F4" s="182" t="str">
        <f>'Stavební rozpočet'!J4</f>
        <v>Ing.  Roman Zvěřina, Dolní Česká 358/25, 669 02 Znojmo</v>
      </c>
      <c r="G4" s="182"/>
      <c r="H4" s="182"/>
    </row>
    <row r="5" spans="1:8" ht="13.2" x14ac:dyDescent="0.25">
      <c r="A5" s="9"/>
      <c r="B5" s="9"/>
      <c r="C5" s="8"/>
      <c r="D5" s="8"/>
      <c r="E5" s="8"/>
      <c r="F5" s="8"/>
      <c r="G5" s="182"/>
      <c r="H5" s="182"/>
    </row>
    <row r="6" spans="1:8" ht="15" customHeight="1" x14ac:dyDescent="0.25">
      <c r="A6" s="9" t="s">
        <v>7</v>
      </c>
      <c r="B6" s="9"/>
      <c r="C6" s="8" t="str">
        <f>'Stavební rozpočet'!D6</f>
        <v>k.ú.Znojmo-město parc.č.258/5</v>
      </c>
      <c r="D6" s="8"/>
      <c r="E6" s="8" t="s">
        <v>8</v>
      </c>
      <c r="F6" s="182" t="str">
        <f>'Stavební rozpočet'!J6</f>
        <v> </v>
      </c>
      <c r="G6" s="182"/>
      <c r="H6" s="182"/>
    </row>
    <row r="7" spans="1:8" ht="13.2" x14ac:dyDescent="0.25">
      <c r="A7" s="9"/>
      <c r="B7" s="9"/>
      <c r="C7" s="8"/>
      <c r="D7" s="8"/>
      <c r="E7" s="8"/>
      <c r="F7" s="8"/>
      <c r="G7" s="182"/>
      <c r="H7" s="182"/>
    </row>
    <row r="8" spans="1:8" ht="15" customHeight="1" x14ac:dyDescent="0.25">
      <c r="A8" s="9" t="s">
        <v>13</v>
      </c>
      <c r="B8" s="9"/>
      <c r="C8" s="8" t="str">
        <f>'Stavební rozpočet'!J8</f>
        <v>Bohuslav Hemala</v>
      </c>
      <c r="D8" s="8"/>
      <c r="E8" s="8" t="s">
        <v>95</v>
      </c>
      <c r="F8" s="182" t="str">
        <f>'Stavební rozpočet'!H8</f>
        <v>16.05.2025</v>
      </c>
      <c r="G8" s="182"/>
      <c r="H8" s="182"/>
    </row>
    <row r="9" spans="1:8" ht="13.2" x14ac:dyDescent="0.25">
      <c r="A9" s="9"/>
      <c r="B9" s="9"/>
      <c r="C9" s="8"/>
      <c r="D9" s="8"/>
      <c r="E9" s="8"/>
      <c r="F9" s="8"/>
      <c r="G9" s="182"/>
      <c r="H9" s="182"/>
    </row>
    <row r="10" spans="1:8" ht="15" customHeight="1" x14ac:dyDescent="0.25">
      <c r="A10" s="130" t="s">
        <v>122</v>
      </c>
      <c r="B10" s="131" t="s">
        <v>99</v>
      </c>
      <c r="C10" s="131" t="s">
        <v>123</v>
      </c>
      <c r="D10" s="206" t="s">
        <v>100</v>
      </c>
      <c r="E10" s="206"/>
      <c r="F10" s="131" t="s">
        <v>124</v>
      </c>
      <c r="G10" s="132" t="s">
        <v>125</v>
      </c>
      <c r="H10" s="133" t="s">
        <v>685</v>
      </c>
    </row>
    <row r="11" spans="1:8" ht="15" customHeight="1" x14ac:dyDescent="0.25">
      <c r="A11" s="89"/>
      <c r="B11" s="89" t="s">
        <v>686</v>
      </c>
      <c r="C11" s="89" t="s">
        <v>203</v>
      </c>
      <c r="D11" s="198" t="s">
        <v>467</v>
      </c>
      <c r="E11" s="198"/>
      <c r="F11" s="89"/>
      <c r="G11" s="92"/>
      <c r="H11" s="92"/>
    </row>
    <row r="12" spans="1:8" ht="15" customHeight="1" x14ac:dyDescent="0.25">
      <c r="A12" s="89"/>
      <c r="B12" s="89" t="s">
        <v>686</v>
      </c>
      <c r="C12" s="89" t="s">
        <v>206</v>
      </c>
      <c r="D12" s="198" t="s">
        <v>508</v>
      </c>
      <c r="E12" s="198"/>
      <c r="F12" s="89"/>
      <c r="G12" s="92"/>
      <c r="H12" s="92"/>
    </row>
    <row r="13" spans="1:8" ht="15" customHeight="1" x14ac:dyDescent="0.25">
      <c r="A13" s="89"/>
      <c r="B13" s="89" t="s">
        <v>686</v>
      </c>
      <c r="C13" s="89" t="s">
        <v>223</v>
      </c>
      <c r="D13" s="198" t="s">
        <v>474</v>
      </c>
      <c r="E13" s="198"/>
      <c r="F13" s="89"/>
      <c r="G13" s="92"/>
      <c r="H13" s="92"/>
    </row>
    <row r="14" spans="1:8" ht="15" customHeight="1" x14ac:dyDescent="0.25">
      <c r="A14" s="89"/>
      <c r="B14" s="89" t="s">
        <v>686</v>
      </c>
      <c r="C14" s="89" t="s">
        <v>228</v>
      </c>
      <c r="D14" s="198" t="s">
        <v>482</v>
      </c>
      <c r="E14" s="198"/>
      <c r="F14" s="89"/>
      <c r="G14" s="92"/>
      <c r="H14" s="92"/>
    </row>
    <row r="15" spans="1:8" ht="15" customHeight="1" x14ac:dyDescent="0.25">
      <c r="A15" s="89"/>
      <c r="B15" s="89" t="s">
        <v>686</v>
      </c>
      <c r="C15" s="89" t="s">
        <v>234</v>
      </c>
      <c r="D15" s="198" t="s">
        <v>523</v>
      </c>
      <c r="E15" s="198"/>
      <c r="F15" s="89"/>
      <c r="G15" s="92"/>
      <c r="H15" s="92"/>
    </row>
    <row r="16" spans="1:8" ht="15" customHeight="1" x14ac:dyDescent="0.25">
      <c r="A16" s="89"/>
      <c r="B16" s="89" t="s">
        <v>686</v>
      </c>
      <c r="C16" s="89" t="s">
        <v>311</v>
      </c>
      <c r="D16" s="198" t="s">
        <v>585</v>
      </c>
      <c r="E16" s="198"/>
      <c r="F16" s="89"/>
      <c r="G16" s="92"/>
      <c r="H16" s="92"/>
    </row>
    <row r="17" spans="1:8" ht="15" customHeight="1" x14ac:dyDescent="0.25">
      <c r="A17" s="89"/>
      <c r="B17" s="89" t="s">
        <v>686</v>
      </c>
      <c r="C17" s="89" t="s">
        <v>370</v>
      </c>
      <c r="D17" s="198" t="s">
        <v>598</v>
      </c>
      <c r="E17" s="198"/>
      <c r="F17" s="89"/>
      <c r="G17" s="92"/>
      <c r="H17" s="92"/>
    </row>
    <row r="18" spans="1:8" ht="15" customHeight="1" x14ac:dyDescent="0.25">
      <c r="A18" s="89"/>
      <c r="B18" s="89" t="s">
        <v>686</v>
      </c>
      <c r="C18" s="89" t="s">
        <v>150</v>
      </c>
      <c r="D18" s="198" t="s">
        <v>151</v>
      </c>
      <c r="E18" s="198"/>
      <c r="F18" s="89"/>
      <c r="G18" s="92"/>
      <c r="H18" s="92"/>
    </row>
    <row r="19" spans="1:8" ht="15" customHeight="1" x14ac:dyDescent="0.25">
      <c r="A19" s="89"/>
      <c r="B19" s="89" t="s">
        <v>686</v>
      </c>
      <c r="C19" s="89" t="s">
        <v>165</v>
      </c>
      <c r="D19" s="198" t="s">
        <v>166</v>
      </c>
      <c r="E19" s="198"/>
      <c r="F19" s="89"/>
      <c r="G19" s="92"/>
      <c r="H19" s="92"/>
    </row>
    <row r="20" spans="1:8" ht="15" customHeight="1" x14ac:dyDescent="0.25">
      <c r="A20" s="89"/>
      <c r="B20" s="89" t="s">
        <v>686</v>
      </c>
      <c r="C20" s="89" t="s">
        <v>171</v>
      </c>
      <c r="D20" s="198" t="s">
        <v>172</v>
      </c>
      <c r="E20" s="198"/>
      <c r="F20" s="89"/>
      <c r="G20" s="92"/>
      <c r="H20" s="92"/>
    </row>
    <row r="21" spans="1:8" ht="15" customHeight="1" x14ac:dyDescent="0.25">
      <c r="A21" s="89"/>
      <c r="B21" s="89" t="s">
        <v>686</v>
      </c>
      <c r="C21" s="89" t="s">
        <v>185</v>
      </c>
      <c r="D21" s="198" t="s">
        <v>186</v>
      </c>
      <c r="E21" s="198"/>
      <c r="F21" s="89"/>
      <c r="G21" s="92"/>
      <c r="H21" s="92"/>
    </row>
    <row r="22" spans="1:8" ht="15" customHeight="1" x14ac:dyDescent="0.25">
      <c r="A22" s="89"/>
      <c r="B22" s="89" t="s">
        <v>686</v>
      </c>
      <c r="C22" s="89" t="s">
        <v>193</v>
      </c>
      <c r="D22" s="198" t="s">
        <v>194</v>
      </c>
      <c r="E22" s="198"/>
      <c r="F22" s="89"/>
      <c r="G22" s="92"/>
      <c r="H22" s="92"/>
    </row>
    <row r="23" spans="1:8" ht="15" customHeight="1" x14ac:dyDescent="0.25">
      <c r="A23" s="89"/>
      <c r="B23" s="89" t="s">
        <v>686</v>
      </c>
      <c r="C23" s="89" t="s">
        <v>216</v>
      </c>
      <c r="D23" s="198" t="s">
        <v>217</v>
      </c>
      <c r="E23" s="198"/>
      <c r="F23" s="89"/>
      <c r="G23" s="92"/>
      <c r="H23" s="92"/>
    </row>
    <row r="24" spans="1:8" ht="15" customHeight="1" x14ac:dyDescent="0.25">
      <c r="A24" s="89"/>
      <c r="B24" s="89" t="s">
        <v>686</v>
      </c>
      <c r="C24" s="89" t="s">
        <v>226</v>
      </c>
      <c r="D24" s="198" t="s">
        <v>227</v>
      </c>
      <c r="E24" s="198"/>
      <c r="F24" s="89"/>
      <c r="G24" s="92"/>
      <c r="H24" s="92"/>
    </row>
    <row r="25" spans="1:8" ht="15" customHeight="1" x14ac:dyDescent="0.25">
      <c r="A25" s="89"/>
      <c r="B25" s="89" t="s">
        <v>686</v>
      </c>
      <c r="C25" s="89" t="s">
        <v>232</v>
      </c>
      <c r="D25" s="198" t="s">
        <v>233</v>
      </c>
      <c r="E25" s="198"/>
      <c r="F25" s="89"/>
      <c r="G25" s="92"/>
      <c r="H25" s="92"/>
    </row>
    <row r="26" spans="1:8" ht="15" customHeight="1" x14ac:dyDescent="0.25">
      <c r="A26" s="89"/>
      <c r="B26" s="89" t="s">
        <v>686</v>
      </c>
      <c r="C26" s="89" t="s">
        <v>242</v>
      </c>
      <c r="D26" s="198" t="s">
        <v>243</v>
      </c>
      <c r="E26" s="198"/>
      <c r="F26" s="89"/>
      <c r="G26" s="92"/>
      <c r="H26" s="92"/>
    </row>
    <row r="27" spans="1:8" ht="15" customHeight="1" x14ac:dyDescent="0.25">
      <c r="A27" s="89"/>
      <c r="B27" s="89" t="s">
        <v>686</v>
      </c>
      <c r="C27" s="89" t="s">
        <v>248</v>
      </c>
      <c r="D27" s="198" t="s">
        <v>249</v>
      </c>
      <c r="E27" s="198"/>
      <c r="F27" s="89"/>
      <c r="G27" s="92"/>
      <c r="H27" s="92"/>
    </row>
    <row r="28" spans="1:8" ht="15" customHeight="1" x14ac:dyDescent="0.25">
      <c r="A28" s="89"/>
      <c r="B28" s="89" t="s">
        <v>686</v>
      </c>
      <c r="C28" s="89" t="s">
        <v>266</v>
      </c>
      <c r="D28" s="198" t="s">
        <v>267</v>
      </c>
      <c r="E28" s="198"/>
      <c r="F28" s="89"/>
      <c r="G28" s="92"/>
      <c r="H28" s="92"/>
    </row>
    <row r="29" spans="1:8" ht="15" customHeight="1" x14ac:dyDescent="0.25">
      <c r="A29" s="89"/>
      <c r="B29" s="89" t="s">
        <v>686</v>
      </c>
      <c r="C29" s="89" t="s">
        <v>275</v>
      </c>
      <c r="D29" s="198" t="s">
        <v>276</v>
      </c>
      <c r="E29" s="198"/>
      <c r="F29" s="89"/>
      <c r="G29" s="92"/>
      <c r="H29" s="92"/>
    </row>
    <row r="30" spans="1:8" ht="15" customHeight="1" x14ac:dyDescent="0.25">
      <c r="A30" s="89"/>
      <c r="B30" s="89" t="s">
        <v>686</v>
      </c>
      <c r="C30" s="89" t="s">
        <v>282</v>
      </c>
      <c r="D30" s="198" t="s">
        <v>283</v>
      </c>
      <c r="E30" s="198"/>
      <c r="F30" s="89"/>
      <c r="G30" s="92"/>
      <c r="H30" s="92"/>
    </row>
    <row r="31" spans="1:8" ht="15" customHeight="1" x14ac:dyDescent="0.25">
      <c r="A31" s="89"/>
      <c r="B31" s="89" t="s">
        <v>686</v>
      </c>
      <c r="C31" s="89" t="s">
        <v>305</v>
      </c>
      <c r="D31" s="198" t="s">
        <v>306</v>
      </c>
      <c r="E31" s="198"/>
      <c r="F31" s="89"/>
      <c r="G31" s="92"/>
      <c r="H31" s="92"/>
    </row>
    <row r="32" spans="1:8" ht="15" customHeight="1" x14ac:dyDescent="0.25">
      <c r="A32" s="89"/>
      <c r="B32" s="89" t="s">
        <v>686</v>
      </c>
      <c r="C32" s="89" t="s">
        <v>324</v>
      </c>
      <c r="D32" s="198" t="s">
        <v>325</v>
      </c>
      <c r="E32" s="198"/>
      <c r="F32" s="89"/>
      <c r="G32" s="92"/>
      <c r="H32" s="92"/>
    </row>
    <row r="33" spans="1:8" ht="15" customHeight="1" x14ac:dyDescent="0.25">
      <c r="A33" s="89"/>
      <c r="B33" s="89" t="s">
        <v>686</v>
      </c>
      <c r="C33" s="89" t="s">
        <v>376</v>
      </c>
      <c r="D33" s="198" t="s">
        <v>377</v>
      </c>
      <c r="E33" s="198"/>
      <c r="F33" s="89"/>
      <c r="G33" s="92"/>
      <c r="H33" s="92"/>
    </row>
    <row r="34" spans="1:8" ht="15" customHeight="1" x14ac:dyDescent="0.25">
      <c r="A34" s="89"/>
      <c r="B34" s="89" t="s">
        <v>686</v>
      </c>
      <c r="C34" s="89" t="s">
        <v>388</v>
      </c>
      <c r="D34" s="198" t="s">
        <v>389</v>
      </c>
      <c r="E34" s="198"/>
      <c r="F34" s="89"/>
      <c r="G34" s="92"/>
      <c r="H34" s="92"/>
    </row>
    <row r="35" spans="1:8" ht="15" customHeight="1" x14ac:dyDescent="0.25">
      <c r="A35" s="89"/>
      <c r="B35" s="89" t="s">
        <v>686</v>
      </c>
      <c r="C35" s="89" t="s">
        <v>661</v>
      </c>
      <c r="D35" s="198" t="s">
        <v>662</v>
      </c>
      <c r="E35" s="198"/>
      <c r="F35" s="89"/>
      <c r="G35" s="92"/>
      <c r="H35" s="92"/>
    </row>
    <row r="36" spans="1:8" ht="15" customHeight="1" x14ac:dyDescent="0.25">
      <c r="A36" s="89"/>
      <c r="B36" s="89" t="s">
        <v>686</v>
      </c>
      <c r="C36" s="89" t="s">
        <v>489</v>
      </c>
      <c r="D36" s="198" t="s">
        <v>561</v>
      </c>
      <c r="E36" s="198"/>
      <c r="F36" s="89"/>
      <c r="G36" s="92"/>
      <c r="H36" s="92"/>
    </row>
    <row r="37" spans="1:8" ht="15" customHeight="1" x14ac:dyDescent="0.25">
      <c r="A37" s="89"/>
      <c r="B37" s="89" t="s">
        <v>686</v>
      </c>
      <c r="C37" s="89" t="s">
        <v>548</v>
      </c>
      <c r="D37" s="198" t="s">
        <v>549</v>
      </c>
      <c r="E37" s="198"/>
      <c r="F37" s="89"/>
      <c r="G37" s="92"/>
      <c r="H37" s="92"/>
    </row>
    <row r="38" spans="1:8" ht="15" customHeight="1" x14ac:dyDescent="0.25">
      <c r="A38" s="89"/>
      <c r="B38" s="89" t="s">
        <v>686</v>
      </c>
      <c r="C38" s="89" t="s">
        <v>398</v>
      </c>
      <c r="D38" s="198" t="s">
        <v>399</v>
      </c>
      <c r="E38" s="198"/>
      <c r="F38" s="89"/>
      <c r="G38" s="92"/>
      <c r="H38" s="92"/>
    </row>
    <row r="39" spans="1:8" ht="15" customHeight="1" x14ac:dyDescent="0.25">
      <c r="A39" s="94" t="s">
        <v>152</v>
      </c>
      <c r="B39" s="94" t="s">
        <v>103</v>
      </c>
      <c r="C39" s="94" t="s">
        <v>153</v>
      </c>
      <c r="D39" s="199" t="s">
        <v>154</v>
      </c>
      <c r="E39" s="199"/>
      <c r="F39" s="94" t="s">
        <v>155</v>
      </c>
      <c r="G39" s="97">
        <v>162</v>
      </c>
      <c r="H39" s="97">
        <v>0</v>
      </c>
    </row>
    <row r="40" spans="1:8" x14ac:dyDescent="0.3">
      <c r="A40" s="134"/>
      <c r="B40" s="134"/>
      <c r="C40" s="134"/>
      <c r="D40" s="135" t="s">
        <v>687</v>
      </c>
      <c r="E40" s="207"/>
      <c r="F40" s="207"/>
      <c r="G40" s="137">
        <v>162</v>
      </c>
      <c r="H40" s="134"/>
    </row>
    <row r="41" spans="1:8" ht="15" customHeight="1" x14ac:dyDescent="0.25">
      <c r="A41" s="94" t="s">
        <v>162</v>
      </c>
      <c r="B41" s="94" t="s">
        <v>103</v>
      </c>
      <c r="C41" s="94" t="s">
        <v>163</v>
      </c>
      <c r="D41" s="199" t="s">
        <v>164</v>
      </c>
      <c r="E41" s="199"/>
      <c r="F41" s="94" t="s">
        <v>155</v>
      </c>
      <c r="G41" s="97">
        <v>162</v>
      </c>
      <c r="H41" s="97">
        <v>0</v>
      </c>
    </row>
    <row r="42" spans="1:8" x14ac:dyDescent="0.3">
      <c r="A42" s="134"/>
      <c r="B42" s="134"/>
      <c r="C42" s="134"/>
      <c r="D42" s="135" t="s">
        <v>687</v>
      </c>
      <c r="E42" s="207"/>
      <c r="F42" s="207"/>
      <c r="G42" s="137">
        <v>162</v>
      </c>
      <c r="H42" s="134"/>
    </row>
    <row r="43" spans="1:8" ht="15" customHeight="1" x14ac:dyDescent="0.25">
      <c r="A43" s="94" t="s">
        <v>167</v>
      </c>
      <c r="B43" s="94" t="s">
        <v>103</v>
      </c>
      <c r="C43" s="94" t="s">
        <v>168</v>
      </c>
      <c r="D43" s="199" t="s">
        <v>169</v>
      </c>
      <c r="E43" s="199"/>
      <c r="F43" s="94" t="s">
        <v>155</v>
      </c>
      <c r="G43" s="97">
        <v>162</v>
      </c>
      <c r="H43" s="97">
        <v>0</v>
      </c>
    </row>
    <row r="44" spans="1:8" x14ac:dyDescent="0.3">
      <c r="A44" s="134"/>
      <c r="B44" s="134"/>
      <c r="C44" s="134"/>
      <c r="D44" s="135" t="s">
        <v>688</v>
      </c>
      <c r="E44" s="207" t="s">
        <v>689</v>
      </c>
      <c r="F44" s="207"/>
      <c r="G44" s="137">
        <v>162</v>
      </c>
      <c r="H44" s="134"/>
    </row>
    <row r="45" spans="1:8" ht="15" customHeight="1" x14ac:dyDescent="0.25">
      <c r="A45" s="94" t="s">
        <v>173</v>
      </c>
      <c r="B45" s="94" t="s">
        <v>103</v>
      </c>
      <c r="C45" s="94" t="s">
        <v>174</v>
      </c>
      <c r="D45" s="199" t="s">
        <v>175</v>
      </c>
      <c r="E45" s="199"/>
      <c r="F45" s="94" t="s">
        <v>176</v>
      </c>
      <c r="G45" s="97">
        <v>20</v>
      </c>
      <c r="H45" s="97">
        <v>0</v>
      </c>
    </row>
    <row r="46" spans="1:8" x14ac:dyDescent="0.3">
      <c r="A46" s="134"/>
      <c r="B46" s="134"/>
      <c r="C46" s="134"/>
      <c r="D46" s="135" t="s">
        <v>244</v>
      </c>
      <c r="E46" s="207"/>
      <c r="F46" s="207"/>
      <c r="G46" s="137">
        <v>20</v>
      </c>
      <c r="H46" s="134"/>
    </row>
    <row r="47" spans="1:8" ht="15" customHeight="1" x14ac:dyDescent="0.25">
      <c r="A47" s="94" t="s">
        <v>179</v>
      </c>
      <c r="B47" s="94" t="s">
        <v>103</v>
      </c>
      <c r="C47" s="94" t="s">
        <v>180</v>
      </c>
      <c r="D47" s="199" t="s">
        <v>181</v>
      </c>
      <c r="E47" s="199"/>
      <c r="F47" s="94" t="s">
        <v>176</v>
      </c>
      <c r="G47" s="97">
        <v>25</v>
      </c>
      <c r="H47" s="97">
        <v>0</v>
      </c>
    </row>
    <row r="48" spans="1:8" x14ac:dyDescent="0.3">
      <c r="A48" s="134"/>
      <c r="B48" s="134"/>
      <c r="C48" s="134"/>
      <c r="D48" s="135" t="s">
        <v>263</v>
      </c>
      <c r="E48" s="207"/>
      <c r="F48" s="207"/>
      <c r="G48" s="137">
        <v>25</v>
      </c>
      <c r="H48" s="134"/>
    </row>
    <row r="49" spans="1:8" ht="15" customHeight="1" x14ac:dyDescent="0.25">
      <c r="A49" s="94" t="s">
        <v>182</v>
      </c>
      <c r="B49" s="94" t="s">
        <v>103</v>
      </c>
      <c r="C49" s="94" t="s">
        <v>183</v>
      </c>
      <c r="D49" s="199" t="s">
        <v>184</v>
      </c>
      <c r="E49" s="199"/>
      <c r="F49" s="94" t="s">
        <v>176</v>
      </c>
      <c r="G49" s="97">
        <v>25</v>
      </c>
      <c r="H49" s="97">
        <v>0</v>
      </c>
    </row>
    <row r="50" spans="1:8" x14ac:dyDescent="0.3">
      <c r="A50" s="134"/>
      <c r="B50" s="134"/>
      <c r="C50" s="134"/>
      <c r="D50" s="135" t="s">
        <v>263</v>
      </c>
      <c r="E50" s="207"/>
      <c r="F50" s="207"/>
      <c r="G50" s="137">
        <v>25</v>
      </c>
      <c r="H50" s="134"/>
    </row>
    <row r="51" spans="1:8" ht="15" customHeight="1" x14ac:dyDescent="0.25">
      <c r="A51" s="94" t="s">
        <v>157</v>
      </c>
      <c r="B51" s="94" t="s">
        <v>103</v>
      </c>
      <c r="C51" s="94" t="s">
        <v>187</v>
      </c>
      <c r="D51" s="199" t="s">
        <v>188</v>
      </c>
      <c r="E51" s="199"/>
      <c r="F51" s="94" t="s">
        <v>176</v>
      </c>
      <c r="G51" s="97">
        <v>20</v>
      </c>
      <c r="H51" s="97">
        <v>0</v>
      </c>
    </row>
    <row r="52" spans="1:8" x14ac:dyDescent="0.3">
      <c r="A52" s="134"/>
      <c r="B52" s="134"/>
      <c r="C52" s="134"/>
      <c r="D52" s="135" t="s">
        <v>244</v>
      </c>
      <c r="E52" s="207"/>
      <c r="F52" s="207"/>
      <c r="G52" s="137">
        <v>20</v>
      </c>
      <c r="H52" s="134"/>
    </row>
    <row r="53" spans="1:8" ht="15" customHeight="1" x14ac:dyDescent="0.25">
      <c r="A53" s="94" t="s">
        <v>190</v>
      </c>
      <c r="B53" s="94" t="s">
        <v>103</v>
      </c>
      <c r="C53" s="94" t="s">
        <v>191</v>
      </c>
      <c r="D53" s="199" t="s">
        <v>192</v>
      </c>
      <c r="E53" s="199"/>
      <c r="F53" s="94" t="s">
        <v>176</v>
      </c>
      <c r="G53" s="97">
        <v>65</v>
      </c>
      <c r="H53" s="97">
        <v>0</v>
      </c>
    </row>
    <row r="54" spans="1:8" x14ac:dyDescent="0.3">
      <c r="A54" s="134"/>
      <c r="B54" s="134"/>
      <c r="C54" s="134"/>
      <c r="D54" s="135" t="s">
        <v>404</v>
      </c>
      <c r="E54" s="207"/>
      <c r="F54" s="207"/>
      <c r="G54" s="137">
        <v>65</v>
      </c>
      <c r="H54" s="134"/>
    </row>
    <row r="55" spans="1:8" ht="15" customHeight="1" x14ac:dyDescent="0.25">
      <c r="A55" s="94" t="s">
        <v>195</v>
      </c>
      <c r="B55" s="94" t="s">
        <v>103</v>
      </c>
      <c r="C55" s="94" t="s">
        <v>196</v>
      </c>
      <c r="D55" s="199" t="s">
        <v>197</v>
      </c>
      <c r="E55" s="199"/>
      <c r="F55" s="94" t="s">
        <v>198</v>
      </c>
      <c r="G55" s="97">
        <v>4</v>
      </c>
      <c r="H55" s="97">
        <v>0</v>
      </c>
    </row>
    <row r="56" spans="1:8" x14ac:dyDescent="0.3">
      <c r="A56" s="134"/>
      <c r="B56" s="134"/>
      <c r="C56" s="134"/>
      <c r="D56" s="135" t="s">
        <v>173</v>
      </c>
      <c r="E56" s="207"/>
      <c r="F56" s="207"/>
      <c r="G56" s="137">
        <v>4</v>
      </c>
      <c r="H56" s="134"/>
    </row>
    <row r="57" spans="1:8" ht="15" customHeight="1" x14ac:dyDescent="0.25">
      <c r="A57" s="94" t="s">
        <v>200</v>
      </c>
      <c r="B57" s="94" t="s">
        <v>103</v>
      </c>
      <c r="C57" s="94" t="s">
        <v>201</v>
      </c>
      <c r="D57" s="199" t="s">
        <v>202</v>
      </c>
      <c r="E57" s="199"/>
      <c r="F57" s="94" t="s">
        <v>198</v>
      </c>
      <c r="G57" s="97">
        <v>5</v>
      </c>
      <c r="H57" s="97">
        <v>0</v>
      </c>
    </row>
    <row r="58" spans="1:8" x14ac:dyDescent="0.3">
      <c r="A58" s="134"/>
      <c r="B58" s="134"/>
      <c r="C58" s="134"/>
      <c r="D58" s="135" t="s">
        <v>690</v>
      </c>
      <c r="E58" s="207"/>
      <c r="F58" s="207"/>
      <c r="G58" s="137">
        <v>5</v>
      </c>
      <c r="H58" s="134"/>
    </row>
    <row r="59" spans="1:8" ht="15" customHeight="1" x14ac:dyDescent="0.25">
      <c r="A59" s="94" t="s">
        <v>203</v>
      </c>
      <c r="B59" s="94" t="s">
        <v>103</v>
      </c>
      <c r="C59" s="94" t="s">
        <v>204</v>
      </c>
      <c r="D59" s="199" t="s">
        <v>205</v>
      </c>
      <c r="E59" s="199"/>
      <c r="F59" s="94" t="s">
        <v>198</v>
      </c>
      <c r="G59" s="97">
        <v>1</v>
      </c>
      <c r="H59" s="97">
        <v>0</v>
      </c>
    </row>
    <row r="60" spans="1:8" x14ac:dyDescent="0.3">
      <c r="A60" s="134"/>
      <c r="B60" s="134"/>
      <c r="C60" s="134"/>
      <c r="D60" s="135" t="s">
        <v>152</v>
      </c>
      <c r="E60" s="207"/>
      <c r="F60" s="207"/>
      <c r="G60" s="137">
        <v>1</v>
      </c>
      <c r="H60" s="134"/>
    </row>
    <row r="61" spans="1:8" ht="15" customHeight="1" x14ac:dyDescent="0.25">
      <c r="A61" s="94" t="s">
        <v>206</v>
      </c>
      <c r="B61" s="94" t="s">
        <v>103</v>
      </c>
      <c r="C61" s="94" t="s">
        <v>207</v>
      </c>
      <c r="D61" s="199" t="s">
        <v>208</v>
      </c>
      <c r="E61" s="199"/>
      <c r="F61" s="94" t="s">
        <v>198</v>
      </c>
      <c r="G61" s="97">
        <v>2</v>
      </c>
      <c r="H61" s="97">
        <v>0</v>
      </c>
    </row>
    <row r="62" spans="1:8" x14ac:dyDescent="0.3">
      <c r="A62" s="134"/>
      <c r="B62" s="134"/>
      <c r="C62" s="134"/>
      <c r="D62" s="135" t="s">
        <v>162</v>
      </c>
      <c r="E62" s="207"/>
      <c r="F62" s="207"/>
      <c r="G62" s="137">
        <v>2</v>
      </c>
      <c r="H62" s="134"/>
    </row>
    <row r="63" spans="1:8" ht="15" customHeight="1" x14ac:dyDescent="0.25">
      <c r="A63" s="94" t="s">
        <v>209</v>
      </c>
      <c r="B63" s="94" t="s">
        <v>103</v>
      </c>
      <c r="C63" s="94" t="s">
        <v>210</v>
      </c>
      <c r="D63" s="199" t="s">
        <v>211</v>
      </c>
      <c r="E63" s="199"/>
      <c r="F63" s="94" t="s">
        <v>212</v>
      </c>
      <c r="G63" s="97">
        <v>5</v>
      </c>
      <c r="H63" s="97">
        <v>0</v>
      </c>
    </row>
    <row r="64" spans="1:8" x14ac:dyDescent="0.3">
      <c r="A64" s="134"/>
      <c r="B64" s="134"/>
      <c r="C64" s="134"/>
      <c r="D64" s="135" t="s">
        <v>179</v>
      </c>
      <c r="E64" s="207"/>
      <c r="F64" s="207"/>
      <c r="G64" s="137">
        <v>5</v>
      </c>
      <c r="H64" s="134"/>
    </row>
    <row r="65" spans="1:8" ht="15" customHeight="1" x14ac:dyDescent="0.25">
      <c r="A65" s="94" t="s">
        <v>213</v>
      </c>
      <c r="B65" s="94" t="s">
        <v>103</v>
      </c>
      <c r="C65" s="94" t="s">
        <v>214</v>
      </c>
      <c r="D65" s="199" t="s">
        <v>215</v>
      </c>
      <c r="E65" s="199"/>
      <c r="F65" s="94" t="s">
        <v>198</v>
      </c>
      <c r="G65" s="97">
        <v>1</v>
      </c>
      <c r="H65" s="97">
        <v>0</v>
      </c>
    </row>
    <row r="66" spans="1:8" x14ac:dyDescent="0.3">
      <c r="A66" s="134"/>
      <c r="B66" s="134"/>
      <c r="C66" s="134"/>
      <c r="D66" s="135" t="s">
        <v>152</v>
      </c>
      <c r="E66" s="207"/>
      <c r="F66" s="207"/>
      <c r="G66" s="137">
        <v>1</v>
      </c>
      <c r="H66" s="134"/>
    </row>
    <row r="67" spans="1:8" ht="15" customHeight="1" x14ac:dyDescent="0.25">
      <c r="A67" s="94" t="s">
        <v>218</v>
      </c>
      <c r="B67" s="94" t="s">
        <v>103</v>
      </c>
      <c r="C67" s="94" t="s">
        <v>219</v>
      </c>
      <c r="D67" s="199" t="s">
        <v>220</v>
      </c>
      <c r="E67" s="199"/>
      <c r="F67" s="94" t="s">
        <v>176</v>
      </c>
      <c r="G67" s="97">
        <v>85</v>
      </c>
      <c r="H67" s="97">
        <v>0</v>
      </c>
    </row>
    <row r="68" spans="1:8" x14ac:dyDescent="0.3">
      <c r="A68" s="134"/>
      <c r="B68" s="134"/>
      <c r="C68" s="134"/>
      <c r="D68" s="135" t="s">
        <v>464</v>
      </c>
      <c r="E68" s="207"/>
      <c r="F68" s="207"/>
      <c r="G68" s="137">
        <v>85</v>
      </c>
      <c r="H68" s="134"/>
    </row>
    <row r="69" spans="1:8" ht="15" customHeight="1" x14ac:dyDescent="0.25">
      <c r="A69" s="94" t="s">
        <v>223</v>
      </c>
      <c r="B69" s="94" t="s">
        <v>103</v>
      </c>
      <c r="C69" s="94" t="s">
        <v>224</v>
      </c>
      <c r="D69" s="199" t="s">
        <v>225</v>
      </c>
      <c r="E69" s="199"/>
      <c r="F69" s="94" t="s">
        <v>176</v>
      </c>
      <c r="G69" s="97">
        <v>20</v>
      </c>
      <c r="H69" s="97">
        <v>0</v>
      </c>
    </row>
    <row r="70" spans="1:8" x14ac:dyDescent="0.3">
      <c r="A70" s="134"/>
      <c r="B70" s="134"/>
      <c r="C70" s="134"/>
      <c r="D70" s="135" t="s">
        <v>244</v>
      </c>
      <c r="E70" s="207"/>
      <c r="F70" s="207"/>
      <c r="G70" s="137">
        <v>20</v>
      </c>
      <c r="H70" s="134"/>
    </row>
    <row r="71" spans="1:8" ht="15" customHeight="1" x14ac:dyDescent="0.25">
      <c r="A71" s="94" t="s">
        <v>228</v>
      </c>
      <c r="B71" s="94" t="s">
        <v>103</v>
      </c>
      <c r="C71" s="94" t="s">
        <v>229</v>
      </c>
      <c r="D71" s="199" t="s">
        <v>230</v>
      </c>
      <c r="E71" s="199"/>
      <c r="F71" s="94" t="s">
        <v>155</v>
      </c>
      <c r="G71" s="97">
        <v>18</v>
      </c>
      <c r="H71" s="97">
        <v>0</v>
      </c>
    </row>
    <row r="72" spans="1:8" x14ac:dyDescent="0.3">
      <c r="A72" s="134"/>
      <c r="B72" s="134"/>
      <c r="C72" s="134"/>
      <c r="D72" s="135" t="s">
        <v>691</v>
      </c>
      <c r="E72" s="207"/>
      <c r="F72" s="207"/>
      <c r="G72" s="137">
        <v>18</v>
      </c>
      <c r="H72" s="134"/>
    </row>
    <row r="73" spans="1:8" ht="15" customHeight="1" x14ac:dyDescent="0.25">
      <c r="A73" s="94" t="s">
        <v>234</v>
      </c>
      <c r="B73" s="94" t="s">
        <v>103</v>
      </c>
      <c r="C73" s="94" t="s">
        <v>235</v>
      </c>
      <c r="D73" s="199" t="s">
        <v>236</v>
      </c>
      <c r="E73" s="199"/>
      <c r="F73" s="94" t="s">
        <v>155</v>
      </c>
      <c r="G73" s="97">
        <v>47.04</v>
      </c>
      <c r="H73" s="97">
        <v>0</v>
      </c>
    </row>
    <row r="74" spans="1:8" x14ac:dyDescent="0.3">
      <c r="A74" s="134"/>
      <c r="B74" s="134"/>
      <c r="C74" s="134"/>
      <c r="D74" s="135" t="s">
        <v>692</v>
      </c>
      <c r="E74" s="207"/>
      <c r="F74" s="207"/>
      <c r="G74" s="137">
        <v>47.04</v>
      </c>
      <c r="H74" s="134"/>
    </row>
    <row r="75" spans="1:8" ht="15" customHeight="1" x14ac:dyDescent="0.25">
      <c r="A75" s="94" t="s">
        <v>239</v>
      </c>
      <c r="B75" s="94" t="s">
        <v>103</v>
      </c>
      <c r="C75" s="94" t="s">
        <v>240</v>
      </c>
      <c r="D75" s="199" t="s">
        <v>241</v>
      </c>
      <c r="E75" s="199"/>
      <c r="F75" s="94" t="s">
        <v>155</v>
      </c>
      <c r="G75" s="97">
        <v>10.106</v>
      </c>
      <c r="H75" s="97">
        <v>0</v>
      </c>
    </row>
    <row r="76" spans="1:8" x14ac:dyDescent="0.3">
      <c r="A76" s="134"/>
      <c r="B76" s="134"/>
      <c r="C76" s="134"/>
      <c r="D76" s="135" t="s">
        <v>693</v>
      </c>
      <c r="E76" s="207"/>
      <c r="F76" s="207"/>
      <c r="G76" s="137">
        <v>10.106</v>
      </c>
      <c r="H76" s="134"/>
    </row>
    <row r="77" spans="1:8" ht="15" customHeight="1" x14ac:dyDescent="0.25">
      <c r="A77" s="94" t="s">
        <v>244</v>
      </c>
      <c r="B77" s="94" t="s">
        <v>103</v>
      </c>
      <c r="C77" s="94" t="s">
        <v>245</v>
      </c>
      <c r="D77" s="199" t="s">
        <v>246</v>
      </c>
      <c r="E77" s="199"/>
      <c r="F77" s="94" t="s">
        <v>176</v>
      </c>
      <c r="G77" s="97">
        <v>51.4</v>
      </c>
      <c r="H77" s="97">
        <v>0</v>
      </c>
    </row>
    <row r="78" spans="1:8" x14ac:dyDescent="0.3">
      <c r="A78" s="134"/>
      <c r="B78" s="134"/>
      <c r="C78" s="134"/>
      <c r="D78" s="135" t="s">
        <v>694</v>
      </c>
      <c r="E78" s="207" t="s">
        <v>695</v>
      </c>
      <c r="F78" s="207"/>
      <c r="G78" s="137">
        <v>51.4</v>
      </c>
      <c r="H78" s="134"/>
    </row>
    <row r="79" spans="1:8" ht="15" customHeight="1" x14ac:dyDescent="0.25">
      <c r="A79" s="94" t="s">
        <v>250</v>
      </c>
      <c r="B79" s="94" t="s">
        <v>103</v>
      </c>
      <c r="C79" s="94" t="s">
        <v>251</v>
      </c>
      <c r="D79" s="199" t="s">
        <v>252</v>
      </c>
      <c r="E79" s="199"/>
      <c r="F79" s="94" t="s">
        <v>155</v>
      </c>
      <c r="G79" s="97">
        <v>16.5</v>
      </c>
      <c r="H79" s="97">
        <v>0</v>
      </c>
    </row>
    <row r="80" spans="1:8" x14ac:dyDescent="0.3">
      <c r="A80" s="134"/>
      <c r="B80" s="134"/>
      <c r="C80" s="134"/>
      <c r="D80" s="135" t="s">
        <v>696</v>
      </c>
      <c r="E80" s="207"/>
      <c r="F80" s="207"/>
      <c r="G80" s="137">
        <v>16.5</v>
      </c>
      <c r="H80" s="134"/>
    </row>
    <row r="81" spans="1:8" ht="15" customHeight="1" x14ac:dyDescent="0.25">
      <c r="A81" s="94" t="s">
        <v>254</v>
      </c>
      <c r="B81" s="94" t="s">
        <v>103</v>
      </c>
      <c r="C81" s="94" t="s">
        <v>255</v>
      </c>
      <c r="D81" s="199" t="s">
        <v>256</v>
      </c>
      <c r="E81" s="199"/>
      <c r="F81" s="94" t="s">
        <v>212</v>
      </c>
      <c r="G81" s="97">
        <v>24</v>
      </c>
      <c r="H81" s="97">
        <v>0</v>
      </c>
    </row>
    <row r="82" spans="1:8" x14ac:dyDescent="0.3">
      <c r="A82" s="134"/>
      <c r="B82" s="134"/>
      <c r="C82" s="134"/>
      <c r="D82" s="135" t="s">
        <v>260</v>
      </c>
      <c r="E82" s="207"/>
      <c r="F82" s="207"/>
      <c r="G82" s="137">
        <v>24</v>
      </c>
      <c r="H82" s="134"/>
    </row>
    <row r="83" spans="1:8" ht="15" customHeight="1" x14ac:dyDescent="0.25">
      <c r="A83" s="94" t="s">
        <v>257</v>
      </c>
      <c r="B83" s="94" t="s">
        <v>103</v>
      </c>
      <c r="C83" s="94" t="s">
        <v>258</v>
      </c>
      <c r="D83" s="199" t="s">
        <v>259</v>
      </c>
      <c r="E83" s="199"/>
      <c r="F83" s="94" t="s">
        <v>212</v>
      </c>
      <c r="G83" s="97">
        <v>4</v>
      </c>
      <c r="H83" s="97">
        <v>0</v>
      </c>
    </row>
    <row r="84" spans="1:8" x14ac:dyDescent="0.3">
      <c r="A84" s="134"/>
      <c r="B84" s="134"/>
      <c r="C84" s="134"/>
      <c r="D84" s="135" t="s">
        <v>697</v>
      </c>
      <c r="E84" s="207"/>
      <c r="F84" s="207"/>
      <c r="G84" s="137">
        <v>4</v>
      </c>
      <c r="H84" s="134"/>
    </row>
    <row r="85" spans="1:8" ht="15" customHeight="1" x14ac:dyDescent="0.25">
      <c r="A85" s="94" t="s">
        <v>260</v>
      </c>
      <c r="B85" s="94" t="s">
        <v>103</v>
      </c>
      <c r="C85" s="94" t="s">
        <v>261</v>
      </c>
      <c r="D85" s="199" t="s">
        <v>262</v>
      </c>
      <c r="E85" s="199"/>
      <c r="F85" s="94" t="s">
        <v>212</v>
      </c>
      <c r="G85" s="97">
        <v>6</v>
      </c>
      <c r="H85" s="97">
        <v>0</v>
      </c>
    </row>
    <row r="86" spans="1:8" x14ac:dyDescent="0.3">
      <c r="A86" s="134"/>
      <c r="B86" s="134"/>
      <c r="C86" s="134"/>
      <c r="D86" s="135" t="s">
        <v>698</v>
      </c>
      <c r="E86" s="207"/>
      <c r="F86" s="207"/>
      <c r="G86" s="137">
        <v>6</v>
      </c>
      <c r="H86" s="134"/>
    </row>
    <row r="87" spans="1:8" ht="15" customHeight="1" x14ac:dyDescent="0.25">
      <c r="A87" s="94" t="s">
        <v>263</v>
      </c>
      <c r="B87" s="94" t="s">
        <v>103</v>
      </c>
      <c r="C87" s="94" t="s">
        <v>264</v>
      </c>
      <c r="D87" s="199" t="s">
        <v>265</v>
      </c>
      <c r="E87" s="199"/>
      <c r="F87" s="94" t="s">
        <v>212</v>
      </c>
      <c r="G87" s="97">
        <v>4</v>
      </c>
      <c r="H87" s="97">
        <v>0</v>
      </c>
    </row>
    <row r="88" spans="1:8" x14ac:dyDescent="0.3">
      <c r="A88" s="134"/>
      <c r="B88" s="134"/>
      <c r="C88" s="134"/>
      <c r="D88" s="135" t="s">
        <v>697</v>
      </c>
      <c r="E88" s="207"/>
      <c r="F88" s="207"/>
      <c r="G88" s="137">
        <v>4</v>
      </c>
      <c r="H88" s="134"/>
    </row>
    <row r="89" spans="1:8" ht="15" customHeight="1" x14ac:dyDescent="0.25">
      <c r="A89" s="94" t="s">
        <v>268</v>
      </c>
      <c r="B89" s="94" t="s">
        <v>103</v>
      </c>
      <c r="C89" s="94" t="s">
        <v>269</v>
      </c>
      <c r="D89" s="199" t="s">
        <v>270</v>
      </c>
      <c r="E89" s="199"/>
      <c r="F89" s="94" t="s">
        <v>155</v>
      </c>
      <c r="G89" s="97">
        <v>47.04</v>
      </c>
      <c r="H89" s="97">
        <v>0</v>
      </c>
    </row>
    <row r="90" spans="1:8" x14ac:dyDescent="0.3">
      <c r="A90" s="134"/>
      <c r="B90" s="134"/>
      <c r="C90" s="134"/>
      <c r="D90" s="135" t="s">
        <v>699</v>
      </c>
      <c r="E90" s="207"/>
      <c r="F90" s="207"/>
      <c r="G90" s="137">
        <v>47.04</v>
      </c>
      <c r="H90" s="134"/>
    </row>
    <row r="91" spans="1:8" ht="15" customHeight="1" x14ac:dyDescent="0.25">
      <c r="A91" s="94" t="s">
        <v>272</v>
      </c>
      <c r="B91" s="94" t="s">
        <v>103</v>
      </c>
      <c r="C91" s="94" t="s">
        <v>273</v>
      </c>
      <c r="D91" s="199" t="s">
        <v>274</v>
      </c>
      <c r="E91" s="199"/>
      <c r="F91" s="94" t="s">
        <v>155</v>
      </c>
      <c r="G91" s="97">
        <v>16.5</v>
      </c>
      <c r="H91" s="97">
        <v>0</v>
      </c>
    </row>
    <row r="92" spans="1:8" x14ac:dyDescent="0.3">
      <c r="A92" s="134"/>
      <c r="B92" s="134"/>
      <c r="C92" s="134"/>
      <c r="D92" s="135" t="s">
        <v>700</v>
      </c>
      <c r="E92" s="207"/>
      <c r="F92" s="207"/>
      <c r="G92" s="137">
        <v>16.5</v>
      </c>
      <c r="H92" s="134"/>
    </row>
    <row r="93" spans="1:8" ht="15" customHeight="1" x14ac:dyDescent="0.25">
      <c r="A93" s="94" t="s">
        <v>277</v>
      </c>
      <c r="B93" s="94" t="s">
        <v>103</v>
      </c>
      <c r="C93" s="94" t="s">
        <v>278</v>
      </c>
      <c r="D93" s="199" t="s">
        <v>279</v>
      </c>
      <c r="E93" s="199"/>
      <c r="F93" s="94" t="s">
        <v>155</v>
      </c>
      <c r="G93" s="97">
        <v>249.6</v>
      </c>
      <c r="H93" s="97">
        <v>0</v>
      </c>
    </row>
    <row r="94" spans="1:8" x14ac:dyDescent="0.3">
      <c r="A94" s="134"/>
      <c r="B94" s="134"/>
      <c r="C94" s="134"/>
      <c r="D94" s="135" t="s">
        <v>701</v>
      </c>
      <c r="E94" s="207"/>
      <c r="F94" s="207"/>
      <c r="G94" s="137">
        <v>249.6</v>
      </c>
      <c r="H94" s="134"/>
    </row>
    <row r="95" spans="1:8" ht="15" customHeight="1" x14ac:dyDescent="0.25">
      <c r="A95" s="94" t="s">
        <v>284</v>
      </c>
      <c r="B95" s="94" t="s">
        <v>103</v>
      </c>
      <c r="C95" s="94" t="s">
        <v>285</v>
      </c>
      <c r="D95" s="199" t="s">
        <v>286</v>
      </c>
      <c r="E95" s="199"/>
      <c r="F95" s="94" t="s">
        <v>287</v>
      </c>
      <c r="G95" s="97">
        <v>30</v>
      </c>
      <c r="H95" s="97">
        <v>0</v>
      </c>
    </row>
    <row r="96" spans="1:8" x14ac:dyDescent="0.3">
      <c r="A96" s="134"/>
      <c r="B96" s="134"/>
      <c r="C96" s="134"/>
      <c r="D96" s="135" t="s">
        <v>290</v>
      </c>
      <c r="E96" s="207"/>
      <c r="F96" s="207"/>
      <c r="G96" s="137">
        <v>30</v>
      </c>
      <c r="H96" s="134"/>
    </row>
    <row r="97" spans="1:8" ht="24" customHeight="1" x14ac:dyDescent="0.25">
      <c r="A97" s="94" t="s">
        <v>290</v>
      </c>
      <c r="B97" s="94" t="s">
        <v>103</v>
      </c>
      <c r="C97" s="94" t="s">
        <v>285</v>
      </c>
      <c r="D97" s="199" t="s">
        <v>291</v>
      </c>
      <c r="E97" s="199"/>
      <c r="F97" s="94" t="s">
        <v>287</v>
      </c>
      <c r="G97" s="97">
        <v>60</v>
      </c>
      <c r="H97" s="97">
        <v>0</v>
      </c>
    </row>
    <row r="98" spans="1:8" x14ac:dyDescent="0.3">
      <c r="A98" s="134"/>
      <c r="B98" s="134"/>
      <c r="C98" s="134"/>
      <c r="D98" s="135" t="s">
        <v>385</v>
      </c>
      <c r="E98" s="207"/>
      <c r="F98" s="207"/>
      <c r="G98" s="137">
        <v>60</v>
      </c>
      <c r="H98" s="134"/>
    </row>
    <row r="99" spans="1:8" ht="15" customHeight="1" x14ac:dyDescent="0.25">
      <c r="A99" s="94" t="s">
        <v>292</v>
      </c>
      <c r="B99" s="94" t="s">
        <v>103</v>
      </c>
      <c r="C99" s="94" t="s">
        <v>285</v>
      </c>
      <c r="D99" s="199" t="s">
        <v>293</v>
      </c>
      <c r="E99" s="199"/>
      <c r="F99" s="94" t="s">
        <v>287</v>
      </c>
      <c r="G99" s="97">
        <v>30</v>
      </c>
      <c r="H99" s="97">
        <v>0</v>
      </c>
    </row>
    <row r="100" spans="1:8" x14ac:dyDescent="0.3">
      <c r="A100" s="134"/>
      <c r="B100" s="134"/>
      <c r="C100" s="134"/>
      <c r="D100" s="135" t="s">
        <v>290</v>
      </c>
      <c r="E100" s="207"/>
      <c r="F100" s="207"/>
      <c r="G100" s="137">
        <v>30</v>
      </c>
      <c r="H100" s="134"/>
    </row>
    <row r="101" spans="1:8" ht="15" customHeight="1" x14ac:dyDescent="0.25">
      <c r="A101" s="94" t="s">
        <v>294</v>
      </c>
      <c r="B101" s="94" t="s">
        <v>103</v>
      </c>
      <c r="C101" s="94" t="s">
        <v>285</v>
      </c>
      <c r="D101" s="199" t="s">
        <v>295</v>
      </c>
      <c r="E101" s="199"/>
      <c r="F101" s="94" t="s">
        <v>287</v>
      </c>
      <c r="G101" s="97">
        <v>30</v>
      </c>
      <c r="H101" s="97">
        <v>0</v>
      </c>
    </row>
    <row r="102" spans="1:8" x14ac:dyDescent="0.3">
      <c r="A102" s="134"/>
      <c r="B102" s="134"/>
      <c r="C102" s="134"/>
      <c r="D102" s="135" t="s">
        <v>290</v>
      </c>
      <c r="E102" s="207"/>
      <c r="F102" s="207"/>
      <c r="G102" s="137">
        <v>30</v>
      </c>
      <c r="H102" s="134"/>
    </row>
    <row r="103" spans="1:8" ht="15" customHeight="1" x14ac:dyDescent="0.25">
      <c r="A103" s="94" t="s">
        <v>296</v>
      </c>
      <c r="B103" s="94" t="s">
        <v>103</v>
      </c>
      <c r="C103" s="94" t="s">
        <v>297</v>
      </c>
      <c r="D103" s="199" t="s">
        <v>298</v>
      </c>
      <c r="E103" s="199"/>
      <c r="F103" s="94" t="s">
        <v>287</v>
      </c>
      <c r="G103" s="97">
        <v>55</v>
      </c>
      <c r="H103" s="97">
        <v>0</v>
      </c>
    </row>
    <row r="104" spans="1:8" x14ac:dyDescent="0.3">
      <c r="A104" s="134"/>
      <c r="B104" s="134"/>
      <c r="C104" s="134"/>
      <c r="D104" s="135" t="s">
        <v>367</v>
      </c>
      <c r="E104" s="207"/>
      <c r="F104" s="207"/>
      <c r="G104" s="137">
        <v>55</v>
      </c>
      <c r="H104" s="134"/>
    </row>
    <row r="105" spans="1:8" ht="24" customHeight="1" x14ac:dyDescent="0.25">
      <c r="A105" s="94" t="s">
        <v>299</v>
      </c>
      <c r="B105" s="94" t="s">
        <v>103</v>
      </c>
      <c r="C105" s="94" t="s">
        <v>297</v>
      </c>
      <c r="D105" s="199" t="s">
        <v>300</v>
      </c>
      <c r="E105" s="199"/>
      <c r="F105" s="94" t="s">
        <v>287</v>
      </c>
      <c r="G105" s="97">
        <v>40</v>
      </c>
      <c r="H105" s="97">
        <v>0</v>
      </c>
    </row>
    <row r="106" spans="1:8" x14ac:dyDescent="0.3">
      <c r="A106" s="134"/>
      <c r="B106" s="134"/>
      <c r="C106" s="134"/>
      <c r="D106" s="135" t="s">
        <v>317</v>
      </c>
      <c r="E106" s="207"/>
      <c r="F106" s="207"/>
      <c r="G106" s="137">
        <v>40</v>
      </c>
      <c r="H106" s="134"/>
    </row>
    <row r="107" spans="1:8" ht="15" customHeight="1" x14ac:dyDescent="0.25">
      <c r="A107" s="94" t="s">
        <v>301</v>
      </c>
      <c r="B107" s="94" t="s">
        <v>103</v>
      </c>
      <c r="C107" s="94" t="s">
        <v>285</v>
      </c>
      <c r="D107" s="199" t="s">
        <v>302</v>
      </c>
      <c r="E107" s="199"/>
      <c r="F107" s="94" t="s">
        <v>287</v>
      </c>
      <c r="G107" s="97">
        <v>30</v>
      </c>
      <c r="H107" s="97">
        <v>0</v>
      </c>
    </row>
    <row r="108" spans="1:8" x14ac:dyDescent="0.3">
      <c r="A108" s="134"/>
      <c r="B108" s="134"/>
      <c r="C108" s="134"/>
      <c r="D108" s="135" t="s">
        <v>290</v>
      </c>
      <c r="E108" s="207"/>
      <c r="F108" s="207"/>
      <c r="G108" s="137">
        <v>30</v>
      </c>
      <c r="H108" s="134"/>
    </row>
    <row r="109" spans="1:8" ht="24" customHeight="1" x14ac:dyDescent="0.25">
      <c r="A109" s="94" t="s">
        <v>303</v>
      </c>
      <c r="B109" s="94" t="s">
        <v>103</v>
      </c>
      <c r="C109" s="94" t="s">
        <v>285</v>
      </c>
      <c r="D109" s="199" t="s">
        <v>304</v>
      </c>
      <c r="E109" s="199"/>
      <c r="F109" s="94" t="s">
        <v>287</v>
      </c>
      <c r="G109" s="97">
        <v>10</v>
      </c>
      <c r="H109" s="97">
        <v>0</v>
      </c>
    </row>
    <row r="110" spans="1:8" x14ac:dyDescent="0.3">
      <c r="A110" s="134"/>
      <c r="B110" s="134"/>
      <c r="C110" s="134"/>
      <c r="D110" s="135" t="s">
        <v>200</v>
      </c>
      <c r="E110" s="207"/>
      <c r="F110" s="207"/>
      <c r="G110" s="137">
        <v>10</v>
      </c>
      <c r="H110" s="134"/>
    </row>
    <row r="111" spans="1:8" ht="15" customHeight="1" x14ac:dyDescent="0.25">
      <c r="A111" s="94" t="s">
        <v>307</v>
      </c>
      <c r="B111" s="94" t="s">
        <v>103</v>
      </c>
      <c r="C111" s="94" t="s">
        <v>308</v>
      </c>
      <c r="D111" s="199" t="s">
        <v>309</v>
      </c>
      <c r="E111" s="199"/>
      <c r="F111" s="94" t="s">
        <v>176</v>
      </c>
      <c r="G111" s="97">
        <v>50.4</v>
      </c>
      <c r="H111" s="97">
        <v>0</v>
      </c>
    </row>
    <row r="112" spans="1:8" x14ac:dyDescent="0.3">
      <c r="A112" s="134"/>
      <c r="B112" s="134"/>
      <c r="C112" s="134"/>
      <c r="D112" s="135" t="s">
        <v>702</v>
      </c>
      <c r="E112" s="207"/>
      <c r="F112" s="207"/>
      <c r="G112" s="137">
        <v>50.4</v>
      </c>
      <c r="H112" s="134"/>
    </row>
    <row r="113" spans="1:8" ht="15" customHeight="1" x14ac:dyDescent="0.25">
      <c r="A113" s="94" t="s">
        <v>311</v>
      </c>
      <c r="B113" s="94" t="s">
        <v>103</v>
      </c>
      <c r="C113" s="94" t="s">
        <v>312</v>
      </c>
      <c r="D113" s="199" t="s">
        <v>313</v>
      </c>
      <c r="E113" s="199"/>
      <c r="F113" s="94" t="s">
        <v>155</v>
      </c>
      <c r="G113" s="97">
        <v>50.4</v>
      </c>
      <c r="H113" s="97">
        <v>0</v>
      </c>
    </row>
    <row r="114" spans="1:8" x14ac:dyDescent="0.3">
      <c r="A114" s="134"/>
      <c r="B114" s="134"/>
      <c r="C114" s="134"/>
      <c r="D114" s="135" t="s">
        <v>703</v>
      </c>
      <c r="E114" s="207"/>
      <c r="F114" s="207"/>
      <c r="G114" s="137">
        <v>50.4</v>
      </c>
      <c r="H114" s="134"/>
    </row>
    <row r="115" spans="1:8" ht="24" customHeight="1" x14ac:dyDescent="0.25">
      <c r="A115" s="94" t="s">
        <v>314</v>
      </c>
      <c r="B115" s="94" t="s">
        <v>103</v>
      </c>
      <c r="C115" s="94" t="s">
        <v>315</v>
      </c>
      <c r="D115" s="199" t="s">
        <v>316</v>
      </c>
      <c r="E115" s="199"/>
      <c r="F115" s="94" t="s">
        <v>155</v>
      </c>
      <c r="G115" s="97">
        <v>50.4</v>
      </c>
      <c r="H115" s="97">
        <v>0</v>
      </c>
    </row>
    <row r="116" spans="1:8" x14ac:dyDescent="0.3">
      <c r="A116" s="134"/>
      <c r="B116" s="134"/>
      <c r="C116" s="134"/>
      <c r="D116" s="135" t="s">
        <v>703</v>
      </c>
      <c r="E116" s="207"/>
      <c r="F116" s="207"/>
      <c r="G116" s="137">
        <v>50.4</v>
      </c>
      <c r="H116" s="134"/>
    </row>
    <row r="117" spans="1:8" ht="15" customHeight="1" x14ac:dyDescent="0.25">
      <c r="A117" s="94" t="s">
        <v>317</v>
      </c>
      <c r="B117" s="94" t="s">
        <v>103</v>
      </c>
      <c r="C117" s="94" t="s">
        <v>318</v>
      </c>
      <c r="D117" s="199" t="s">
        <v>319</v>
      </c>
      <c r="E117" s="199"/>
      <c r="F117" s="94" t="s">
        <v>155</v>
      </c>
      <c r="G117" s="97">
        <v>50.4</v>
      </c>
      <c r="H117" s="97">
        <v>0</v>
      </c>
    </row>
    <row r="118" spans="1:8" x14ac:dyDescent="0.3">
      <c r="A118" s="134"/>
      <c r="B118" s="134"/>
      <c r="C118" s="134"/>
      <c r="D118" s="135" t="s">
        <v>703</v>
      </c>
      <c r="E118" s="207"/>
      <c r="F118" s="207"/>
      <c r="G118" s="137">
        <v>50.4</v>
      </c>
      <c r="H118" s="134"/>
    </row>
    <row r="119" spans="1:8" ht="15" customHeight="1" x14ac:dyDescent="0.25">
      <c r="A119" s="94" t="s">
        <v>320</v>
      </c>
      <c r="B119" s="94" t="s">
        <v>103</v>
      </c>
      <c r="C119" s="94" t="s">
        <v>321</v>
      </c>
      <c r="D119" s="199" t="s">
        <v>322</v>
      </c>
      <c r="E119" s="199"/>
      <c r="F119" s="94" t="s">
        <v>323</v>
      </c>
      <c r="G119" s="97">
        <v>0.71399999999999997</v>
      </c>
      <c r="H119" s="97">
        <v>0</v>
      </c>
    </row>
    <row r="120" spans="1:8" x14ac:dyDescent="0.3">
      <c r="A120" s="134"/>
      <c r="B120" s="134"/>
      <c r="C120" s="134"/>
      <c r="D120" s="135" t="s">
        <v>704</v>
      </c>
      <c r="E120" s="207"/>
      <c r="F120" s="207"/>
      <c r="G120" s="137">
        <v>0.71399999999999997</v>
      </c>
      <c r="H120" s="134"/>
    </row>
    <row r="121" spans="1:8" ht="15" customHeight="1" x14ac:dyDescent="0.25">
      <c r="A121" s="94" t="s">
        <v>326</v>
      </c>
      <c r="B121" s="94" t="s">
        <v>103</v>
      </c>
      <c r="C121" s="94" t="s">
        <v>327</v>
      </c>
      <c r="D121" s="199" t="s">
        <v>328</v>
      </c>
      <c r="E121" s="199"/>
      <c r="F121" s="94" t="s">
        <v>212</v>
      </c>
      <c r="G121" s="97">
        <v>10</v>
      </c>
      <c r="H121" s="97">
        <v>0</v>
      </c>
    </row>
    <row r="122" spans="1:8" x14ac:dyDescent="0.3">
      <c r="A122" s="134"/>
      <c r="B122" s="134"/>
      <c r="C122" s="134"/>
      <c r="D122" s="135" t="s">
        <v>705</v>
      </c>
      <c r="E122" s="207" t="s">
        <v>706</v>
      </c>
      <c r="F122" s="207"/>
      <c r="G122" s="137">
        <v>10</v>
      </c>
      <c r="H122" s="134"/>
    </row>
    <row r="123" spans="1:8" ht="15" customHeight="1" x14ac:dyDescent="0.25">
      <c r="A123" s="94" t="s">
        <v>330</v>
      </c>
      <c r="B123" s="94" t="s">
        <v>103</v>
      </c>
      <c r="C123" s="94" t="s">
        <v>331</v>
      </c>
      <c r="D123" s="199" t="s">
        <v>332</v>
      </c>
      <c r="E123" s="199"/>
      <c r="F123" s="94" t="s">
        <v>212</v>
      </c>
      <c r="G123" s="97">
        <v>22</v>
      </c>
      <c r="H123" s="97">
        <v>0</v>
      </c>
    </row>
    <row r="124" spans="1:8" x14ac:dyDescent="0.3">
      <c r="A124" s="134"/>
      <c r="B124" s="134"/>
      <c r="C124" s="134"/>
      <c r="D124" s="135" t="s">
        <v>707</v>
      </c>
      <c r="E124" s="207"/>
      <c r="F124" s="207"/>
      <c r="G124" s="137">
        <v>22</v>
      </c>
      <c r="H124" s="134"/>
    </row>
    <row r="125" spans="1:8" ht="15" customHeight="1" x14ac:dyDescent="0.25">
      <c r="A125" s="94" t="s">
        <v>333</v>
      </c>
      <c r="B125" s="94" t="s">
        <v>103</v>
      </c>
      <c r="C125" s="94" t="s">
        <v>334</v>
      </c>
      <c r="D125" s="199" t="s">
        <v>335</v>
      </c>
      <c r="E125" s="199"/>
      <c r="F125" s="94" t="s">
        <v>155</v>
      </c>
      <c r="G125" s="97">
        <v>27.82</v>
      </c>
      <c r="H125" s="97">
        <v>0</v>
      </c>
    </row>
    <row r="126" spans="1:8" x14ac:dyDescent="0.3">
      <c r="A126" s="134"/>
      <c r="B126" s="134"/>
      <c r="C126" s="134"/>
      <c r="D126" s="135" t="s">
        <v>708</v>
      </c>
      <c r="E126" s="207" t="s">
        <v>709</v>
      </c>
      <c r="F126" s="207"/>
      <c r="G126" s="137">
        <v>11.82</v>
      </c>
      <c r="H126" s="134"/>
    </row>
    <row r="127" spans="1:8" ht="13.2" x14ac:dyDescent="0.25">
      <c r="A127" s="94"/>
      <c r="B127" s="94"/>
      <c r="C127" s="94"/>
      <c r="D127" s="135" t="s">
        <v>710</v>
      </c>
      <c r="E127" s="207" t="s">
        <v>711</v>
      </c>
      <c r="F127" s="207"/>
      <c r="G127" s="137">
        <v>16</v>
      </c>
      <c r="H127" s="99"/>
    </row>
    <row r="128" spans="1:8" ht="15" customHeight="1" x14ac:dyDescent="0.25">
      <c r="A128" s="94" t="s">
        <v>336</v>
      </c>
      <c r="B128" s="94" t="s">
        <v>103</v>
      </c>
      <c r="C128" s="94" t="s">
        <v>337</v>
      </c>
      <c r="D128" s="199" t="s">
        <v>338</v>
      </c>
      <c r="E128" s="199"/>
      <c r="F128" s="94" t="s">
        <v>212</v>
      </c>
      <c r="G128" s="97">
        <v>24</v>
      </c>
      <c r="H128" s="97">
        <v>0</v>
      </c>
    </row>
    <row r="129" spans="1:8" x14ac:dyDescent="0.3">
      <c r="A129" s="134"/>
      <c r="B129" s="134"/>
      <c r="C129" s="134"/>
      <c r="D129" s="135" t="s">
        <v>712</v>
      </c>
      <c r="E129" s="207" t="s">
        <v>709</v>
      </c>
      <c r="F129" s="207"/>
      <c r="G129" s="137">
        <v>8</v>
      </c>
      <c r="H129" s="134"/>
    </row>
    <row r="130" spans="1:8" ht="13.2" x14ac:dyDescent="0.25">
      <c r="A130" s="94"/>
      <c r="B130" s="94"/>
      <c r="C130" s="94"/>
      <c r="D130" s="135" t="s">
        <v>710</v>
      </c>
      <c r="E130" s="207" t="s">
        <v>713</v>
      </c>
      <c r="F130" s="207"/>
      <c r="G130" s="137">
        <v>16</v>
      </c>
      <c r="H130" s="99"/>
    </row>
    <row r="131" spans="1:8" ht="15" customHeight="1" x14ac:dyDescent="0.25">
      <c r="A131" s="94" t="s">
        <v>339</v>
      </c>
      <c r="B131" s="94" t="s">
        <v>103</v>
      </c>
      <c r="C131" s="94" t="s">
        <v>340</v>
      </c>
      <c r="D131" s="199" t="s">
        <v>341</v>
      </c>
      <c r="E131" s="199"/>
      <c r="F131" s="94" t="s">
        <v>155</v>
      </c>
      <c r="G131" s="97">
        <v>24</v>
      </c>
      <c r="H131" s="97">
        <v>0</v>
      </c>
    </row>
    <row r="132" spans="1:8" x14ac:dyDescent="0.3">
      <c r="A132" s="134"/>
      <c r="B132" s="134"/>
      <c r="C132" s="134"/>
      <c r="D132" s="135" t="s">
        <v>714</v>
      </c>
      <c r="E132" s="207"/>
      <c r="F132" s="207"/>
      <c r="G132" s="137">
        <v>24</v>
      </c>
      <c r="H132" s="134"/>
    </row>
    <row r="133" spans="1:8" ht="15" customHeight="1" x14ac:dyDescent="0.25">
      <c r="A133" s="94" t="s">
        <v>342</v>
      </c>
      <c r="B133" s="94" t="s">
        <v>103</v>
      </c>
      <c r="C133" s="94" t="s">
        <v>343</v>
      </c>
      <c r="D133" s="199" t="s">
        <v>344</v>
      </c>
      <c r="E133" s="199"/>
      <c r="F133" s="94" t="s">
        <v>155</v>
      </c>
      <c r="G133" s="97">
        <v>32.64</v>
      </c>
      <c r="H133" s="97">
        <v>0</v>
      </c>
    </row>
    <row r="134" spans="1:8" x14ac:dyDescent="0.3">
      <c r="A134" s="134"/>
      <c r="B134" s="134"/>
      <c r="C134" s="134"/>
      <c r="D134" s="135" t="s">
        <v>715</v>
      </c>
      <c r="E134" s="207"/>
      <c r="F134" s="207"/>
      <c r="G134" s="137">
        <v>32.64</v>
      </c>
      <c r="H134" s="134"/>
    </row>
    <row r="135" spans="1:8" ht="15" customHeight="1" x14ac:dyDescent="0.25">
      <c r="A135" s="94" t="s">
        <v>345</v>
      </c>
      <c r="B135" s="94" t="s">
        <v>103</v>
      </c>
      <c r="C135" s="94" t="s">
        <v>346</v>
      </c>
      <c r="D135" s="199" t="s">
        <v>347</v>
      </c>
      <c r="E135" s="199"/>
      <c r="F135" s="94" t="s">
        <v>212</v>
      </c>
      <c r="G135" s="97">
        <v>4</v>
      </c>
      <c r="H135" s="97">
        <v>0</v>
      </c>
    </row>
    <row r="136" spans="1:8" x14ac:dyDescent="0.3">
      <c r="A136" s="134"/>
      <c r="B136" s="134"/>
      <c r="C136" s="134"/>
      <c r="D136" s="135" t="s">
        <v>697</v>
      </c>
      <c r="E136" s="207" t="s">
        <v>709</v>
      </c>
      <c r="F136" s="207"/>
      <c r="G136" s="137">
        <v>4</v>
      </c>
      <c r="H136" s="134"/>
    </row>
    <row r="137" spans="1:8" ht="15" customHeight="1" x14ac:dyDescent="0.25">
      <c r="A137" s="94" t="s">
        <v>348</v>
      </c>
      <c r="B137" s="94" t="s">
        <v>103</v>
      </c>
      <c r="C137" s="94" t="s">
        <v>349</v>
      </c>
      <c r="D137" s="199" t="s">
        <v>350</v>
      </c>
      <c r="E137" s="199"/>
      <c r="F137" s="94" t="s">
        <v>155</v>
      </c>
      <c r="G137" s="97">
        <v>6.0819999999999999</v>
      </c>
      <c r="H137" s="97">
        <v>0</v>
      </c>
    </row>
    <row r="138" spans="1:8" x14ac:dyDescent="0.3">
      <c r="A138" s="134"/>
      <c r="B138" s="134"/>
      <c r="C138" s="134"/>
      <c r="D138" s="135" t="s">
        <v>716</v>
      </c>
      <c r="E138" s="207" t="s">
        <v>709</v>
      </c>
      <c r="F138" s="207"/>
      <c r="G138" s="137">
        <v>6.0819999999999999</v>
      </c>
      <c r="H138" s="134"/>
    </row>
    <row r="139" spans="1:8" ht="15" customHeight="1" x14ac:dyDescent="0.25">
      <c r="A139" s="94" t="s">
        <v>351</v>
      </c>
      <c r="B139" s="94" t="s">
        <v>103</v>
      </c>
      <c r="C139" s="94" t="s">
        <v>352</v>
      </c>
      <c r="D139" s="199" t="s">
        <v>353</v>
      </c>
      <c r="E139" s="199"/>
      <c r="F139" s="94" t="s">
        <v>155</v>
      </c>
      <c r="G139" s="97">
        <v>2.4</v>
      </c>
      <c r="H139" s="97">
        <v>0</v>
      </c>
    </row>
    <row r="140" spans="1:8" x14ac:dyDescent="0.3">
      <c r="A140" s="134"/>
      <c r="B140" s="134"/>
      <c r="C140" s="134"/>
      <c r="D140" s="135" t="s">
        <v>717</v>
      </c>
      <c r="E140" s="207" t="s">
        <v>709</v>
      </c>
      <c r="F140" s="207"/>
      <c r="G140" s="137">
        <v>2.4</v>
      </c>
      <c r="H140" s="134"/>
    </row>
    <row r="141" spans="1:8" ht="15" customHeight="1" x14ac:dyDescent="0.25">
      <c r="A141" s="94" t="s">
        <v>354</v>
      </c>
      <c r="B141" s="94" t="s">
        <v>103</v>
      </c>
      <c r="C141" s="94" t="s">
        <v>355</v>
      </c>
      <c r="D141" s="199" t="s">
        <v>356</v>
      </c>
      <c r="E141" s="199"/>
      <c r="F141" s="94" t="s">
        <v>212</v>
      </c>
      <c r="G141" s="97">
        <v>6</v>
      </c>
      <c r="H141" s="97">
        <v>0</v>
      </c>
    </row>
    <row r="142" spans="1:8" x14ac:dyDescent="0.3">
      <c r="A142" s="134"/>
      <c r="B142" s="134"/>
      <c r="C142" s="134"/>
      <c r="D142" s="135" t="s">
        <v>182</v>
      </c>
      <c r="E142" s="207"/>
      <c r="F142" s="207"/>
      <c r="G142" s="137">
        <v>6</v>
      </c>
      <c r="H142" s="134"/>
    </row>
    <row r="143" spans="1:8" ht="15" customHeight="1" x14ac:dyDescent="0.25">
      <c r="A143" s="94" t="s">
        <v>357</v>
      </c>
      <c r="B143" s="94" t="s">
        <v>103</v>
      </c>
      <c r="C143" s="94" t="s">
        <v>358</v>
      </c>
      <c r="D143" s="199" t="s">
        <v>359</v>
      </c>
      <c r="E143" s="199"/>
      <c r="F143" s="94" t="s">
        <v>176</v>
      </c>
      <c r="G143" s="97">
        <v>33.6</v>
      </c>
      <c r="H143" s="97">
        <v>0</v>
      </c>
    </row>
    <row r="144" spans="1:8" x14ac:dyDescent="0.3">
      <c r="A144" s="134"/>
      <c r="B144" s="134"/>
      <c r="C144" s="134"/>
      <c r="D144" s="135" t="s">
        <v>718</v>
      </c>
      <c r="E144" s="207"/>
      <c r="F144" s="207"/>
      <c r="G144" s="137">
        <v>33.6</v>
      </c>
      <c r="H144" s="134"/>
    </row>
    <row r="145" spans="1:8" ht="15" customHeight="1" x14ac:dyDescent="0.25">
      <c r="A145" s="94" t="s">
        <v>360</v>
      </c>
      <c r="B145" s="94" t="s">
        <v>103</v>
      </c>
      <c r="C145" s="94" t="s">
        <v>361</v>
      </c>
      <c r="D145" s="199" t="s">
        <v>362</v>
      </c>
      <c r="E145" s="199"/>
      <c r="F145" s="94" t="s">
        <v>155</v>
      </c>
      <c r="G145" s="97">
        <v>15.984</v>
      </c>
      <c r="H145" s="97">
        <v>0</v>
      </c>
    </row>
    <row r="146" spans="1:8" x14ac:dyDescent="0.3">
      <c r="A146" s="134"/>
      <c r="B146" s="134"/>
      <c r="C146" s="134"/>
      <c r="D146" s="135" t="s">
        <v>719</v>
      </c>
      <c r="E146" s="207" t="s">
        <v>709</v>
      </c>
      <c r="F146" s="207"/>
      <c r="G146" s="137">
        <v>15.984</v>
      </c>
      <c r="H146" s="134"/>
    </row>
    <row r="147" spans="1:8" ht="15" customHeight="1" x14ac:dyDescent="0.25">
      <c r="A147" s="94" t="s">
        <v>363</v>
      </c>
      <c r="B147" s="94" t="s">
        <v>103</v>
      </c>
      <c r="C147" s="94" t="s">
        <v>364</v>
      </c>
      <c r="D147" s="199" t="s">
        <v>365</v>
      </c>
      <c r="E147" s="199"/>
      <c r="F147" s="94" t="s">
        <v>366</v>
      </c>
      <c r="G147" s="97">
        <v>5.94</v>
      </c>
      <c r="H147" s="97">
        <v>0</v>
      </c>
    </row>
    <row r="148" spans="1:8" x14ac:dyDescent="0.3">
      <c r="A148" s="134"/>
      <c r="B148" s="134"/>
      <c r="C148" s="134"/>
      <c r="D148" s="135" t="s">
        <v>720</v>
      </c>
      <c r="E148" s="207" t="s">
        <v>721</v>
      </c>
      <c r="F148" s="207"/>
      <c r="G148" s="137">
        <v>5.94</v>
      </c>
      <c r="H148" s="134"/>
    </row>
    <row r="149" spans="1:8" ht="15" customHeight="1" x14ac:dyDescent="0.25">
      <c r="A149" s="94" t="s">
        <v>367</v>
      </c>
      <c r="B149" s="94" t="s">
        <v>103</v>
      </c>
      <c r="C149" s="94" t="s">
        <v>368</v>
      </c>
      <c r="D149" s="199" t="s">
        <v>369</v>
      </c>
      <c r="E149" s="199"/>
      <c r="F149" s="94" t="s">
        <v>366</v>
      </c>
      <c r="G149" s="97">
        <v>16.605</v>
      </c>
      <c r="H149" s="97">
        <v>0</v>
      </c>
    </row>
    <row r="150" spans="1:8" x14ac:dyDescent="0.3">
      <c r="A150" s="134"/>
      <c r="B150" s="134"/>
      <c r="C150" s="134"/>
      <c r="D150" s="135" t="s">
        <v>722</v>
      </c>
      <c r="E150" s="207"/>
      <c r="F150" s="207"/>
      <c r="G150" s="137">
        <v>16.605</v>
      </c>
      <c r="H150" s="134"/>
    </row>
    <row r="151" spans="1:8" ht="15" customHeight="1" x14ac:dyDescent="0.25">
      <c r="A151" s="94" t="s">
        <v>370</v>
      </c>
      <c r="B151" s="94" t="s">
        <v>103</v>
      </c>
      <c r="C151" s="94" t="s">
        <v>371</v>
      </c>
      <c r="D151" s="199" t="s">
        <v>372</v>
      </c>
      <c r="E151" s="199"/>
      <c r="F151" s="94" t="s">
        <v>366</v>
      </c>
      <c r="G151" s="97">
        <v>71.153999999999996</v>
      </c>
      <c r="H151" s="97">
        <v>0</v>
      </c>
    </row>
    <row r="152" spans="1:8" x14ac:dyDescent="0.3">
      <c r="A152" s="134"/>
      <c r="B152" s="134"/>
      <c r="C152" s="134"/>
      <c r="D152" s="135" t="s">
        <v>723</v>
      </c>
      <c r="E152" s="207" t="s">
        <v>724</v>
      </c>
      <c r="F152" s="207"/>
      <c r="G152" s="137">
        <v>71.153999999999996</v>
      </c>
      <c r="H152" s="134"/>
    </row>
    <row r="153" spans="1:8" ht="15" customHeight="1" x14ac:dyDescent="0.25">
      <c r="A153" s="94" t="s">
        <v>373</v>
      </c>
      <c r="B153" s="94" t="s">
        <v>103</v>
      </c>
      <c r="C153" s="94" t="s">
        <v>374</v>
      </c>
      <c r="D153" s="199" t="s">
        <v>375</v>
      </c>
      <c r="E153" s="199"/>
      <c r="F153" s="94" t="s">
        <v>366</v>
      </c>
      <c r="G153" s="97">
        <v>26.01</v>
      </c>
      <c r="H153" s="97">
        <v>0</v>
      </c>
    </row>
    <row r="154" spans="1:8" x14ac:dyDescent="0.3">
      <c r="A154" s="134"/>
      <c r="B154" s="134"/>
      <c r="C154" s="134"/>
      <c r="D154" s="135" t="s">
        <v>725</v>
      </c>
      <c r="E154" s="207" t="s">
        <v>726</v>
      </c>
      <c r="F154" s="207"/>
      <c r="G154" s="137">
        <v>26.01</v>
      </c>
      <c r="H154" s="134"/>
    </row>
    <row r="155" spans="1:8" ht="15" customHeight="1" x14ac:dyDescent="0.25">
      <c r="A155" s="94" t="s">
        <v>378</v>
      </c>
      <c r="B155" s="94" t="s">
        <v>103</v>
      </c>
      <c r="C155" s="94" t="s">
        <v>379</v>
      </c>
      <c r="D155" s="199" t="s">
        <v>380</v>
      </c>
      <c r="E155" s="199"/>
      <c r="F155" s="94" t="s">
        <v>176</v>
      </c>
      <c r="G155" s="97">
        <v>38.200000000000003</v>
      </c>
      <c r="H155" s="97">
        <v>0</v>
      </c>
    </row>
    <row r="156" spans="1:8" x14ac:dyDescent="0.3">
      <c r="A156" s="134"/>
      <c r="B156" s="134"/>
      <c r="C156" s="134"/>
      <c r="D156" s="135" t="s">
        <v>727</v>
      </c>
      <c r="E156" s="207" t="s">
        <v>728</v>
      </c>
      <c r="F156" s="207"/>
      <c r="G156" s="137">
        <v>18.2</v>
      </c>
      <c r="H156" s="134"/>
    </row>
    <row r="157" spans="1:8" ht="13.2" x14ac:dyDescent="0.25">
      <c r="A157" s="94"/>
      <c r="B157" s="94"/>
      <c r="C157" s="94"/>
      <c r="D157" s="135" t="s">
        <v>729</v>
      </c>
      <c r="E157" s="207" t="s">
        <v>730</v>
      </c>
      <c r="F157" s="207"/>
      <c r="G157" s="137">
        <v>20</v>
      </c>
      <c r="H157" s="99"/>
    </row>
    <row r="158" spans="1:8" ht="15" customHeight="1" x14ac:dyDescent="0.25">
      <c r="A158" s="94" t="s">
        <v>382</v>
      </c>
      <c r="B158" s="94" t="s">
        <v>103</v>
      </c>
      <c r="C158" s="94" t="s">
        <v>383</v>
      </c>
      <c r="D158" s="199" t="s">
        <v>384</v>
      </c>
      <c r="E158" s="199"/>
      <c r="F158" s="94" t="s">
        <v>176</v>
      </c>
      <c r="G158" s="97">
        <v>2</v>
      </c>
      <c r="H158" s="97">
        <v>0</v>
      </c>
    </row>
    <row r="159" spans="1:8" x14ac:dyDescent="0.3">
      <c r="A159" s="134"/>
      <c r="B159" s="134"/>
      <c r="C159" s="134"/>
      <c r="D159" s="135" t="s">
        <v>162</v>
      </c>
      <c r="E159" s="207"/>
      <c r="F159" s="207"/>
      <c r="G159" s="137">
        <v>2</v>
      </c>
      <c r="H159" s="134"/>
    </row>
    <row r="160" spans="1:8" ht="15" customHeight="1" x14ac:dyDescent="0.25">
      <c r="A160" s="94" t="s">
        <v>385</v>
      </c>
      <c r="B160" s="94" t="s">
        <v>103</v>
      </c>
      <c r="C160" s="94" t="s">
        <v>386</v>
      </c>
      <c r="D160" s="199" t="s">
        <v>387</v>
      </c>
      <c r="E160" s="199"/>
      <c r="F160" s="94" t="s">
        <v>212</v>
      </c>
      <c r="G160" s="97">
        <v>5</v>
      </c>
      <c r="H160" s="97">
        <v>0</v>
      </c>
    </row>
    <row r="161" spans="1:8" x14ac:dyDescent="0.3">
      <c r="A161" s="134"/>
      <c r="B161" s="134"/>
      <c r="C161" s="134"/>
      <c r="D161" s="135" t="s">
        <v>179</v>
      </c>
      <c r="E161" s="207"/>
      <c r="F161" s="207"/>
      <c r="G161" s="137">
        <v>5</v>
      </c>
      <c r="H161" s="134"/>
    </row>
    <row r="162" spans="1:8" ht="15" customHeight="1" x14ac:dyDescent="0.25">
      <c r="A162" s="94" t="s">
        <v>390</v>
      </c>
      <c r="B162" s="94" t="s">
        <v>103</v>
      </c>
      <c r="C162" s="94" t="s">
        <v>391</v>
      </c>
      <c r="D162" s="199" t="s">
        <v>392</v>
      </c>
      <c r="E162" s="199"/>
      <c r="F162" s="94" t="s">
        <v>366</v>
      </c>
      <c r="G162" s="97">
        <v>120.14</v>
      </c>
      <c r="H162" s="97">
        <v>0</v>
      </c>
    </row>
    <row r="163" spans="1:8" x14ac:dyDescent="0.3">
      <c r="A163" s="134"/>
      <c r="B163" s="134"/>
      <c r="C163" s="134"/>
      <c r="D163" s="135" t="s">
        <v>731</v>
      </c>
      <c r="E163" s="207" t="s">
        <v>732</v>
      </c>
      <c r="F163" s="207"/>
      <c r="G163" s="137">
        <v>125.765</v>
      </c>
      <c r="H163" s="134"/>
    </row>
    <row r="164" spans="1:8" ht="13.2" x14ac:dyDescent="0.25">
      <c r="A164" s="94"/>
      <c r="B164" s="94"/>
      <c r="C164" s="94"/>
      <c r="D164" s="135" t="s">
        <v>733</v>
      </c>
      <c r="E164" s="207" t="s">
        <v>734</v>
      </c>
      <c r="F164" s="207"/>
      <c r="G164" s="137">
        <v>-5.625</v>
      </c>
      <c r="H164" s="99"/>
    </row>
    <row r="165" spans="1:8" ht="15" customHeight="1" x14ac:dyDescent="0.25">
      <c r="A165" s="94" t="s">
        <v>394</v>
      </c>
      <c r="B165" s="94" t="s">
        <v>103</v>
      </c>
      <c r="C165" s="94" t="s">
        <v>391</v>
      </c>
      <c r="D165" s="199" t="s">
        <v>395</v>
      </c>
      <c r="E165" s="199"/>
      <c r="F165" s="94" t="s">
        <v>366</v>
      </c>
      <c r="G165" s="97">
        <v>47.097999999999999</v>
      </c>
      <c r="H165" s="97">
        <v>0</v>
      </c>
    </row>
    <row r="166" spans="1:8" x14ac:dyDescent="0.3">
      <c r="A166" s="134"/>
      <c r="B166" s="134"/>
      <c r="C166" s="134"/>
      <c r="D166" s="135" t="s">
        <v>735</v>
      </c>
      <c r="E166" s="207" t="s">
        <v>736</v>
      </c>
      <c r="F166" s="207"/>
      <c r="G166" s="137">
        <v>11.18</v>
      </c>
      <c r="H166" s="134"/>
    </row>
    <row r="167" spans="1:8" ht="13.2" x14ac:dyDescent="0.25">
      <c r="A167" s="94"/>
      <c r="B167" s="94"/>
      <c r="C167" s="94"/>
      <c r="D167" s="135" t="s">
        <v>737</v>
      </c>
      <c r="E167" s="207"/>
      <c r="F167" s="207"/>
      <c r="G167" s="137">
        <v>1.0940000000000001</v>
      </c>
      <c r="H167" s="99"/>
    </row>
    <row r="168" spans="1:8" ht="13.2" x14ac:dyDescent="0.25">
      <c r="A168" s="94"/>
      <c r="B168" s="94"/>
      <c r="C168" s="94"/>
      <c r="D168" s="135" t="s">
        <v>738</v>
      </c>
      <c r="E168" s="207"/>
      <c r="F168" s="207"/>
      <c r="G168" s="137">
        <v>3.387</v>
      </c>
      <c r="H168" s="99"/>
    </row>
    <row r="169" spans="1:8" ht="13.2" x14ac:dyDescent="0.25">
      <c r="A169" s="94"/>
      <c r="B169" s="94"/>
      <c r="C169" s="94"/>
      <c r="D169" s="135" t="s">
        <v>739</v>
      </c>
      <c r="E169" s="207" t="s">
        <v>740</v>
      </c>
      <c r="F169" s="207"/>
      <c r="G169" s="137">
        <v>22.997</v>
      </c>
      <c r="H169" s="99"/>
    </row>
    <row r="170" spans="1:8" ht="13.2" x14ac:dyDescent="0.25">
      <c r="A170" s="94"/>
      <c r="B170" s="94"/>
      <c r="C170" s="94"/>
      <c r="D170" s="135" t="s">
        <v>741</v>
      </c>
      <c r="E170" s="207"/>
      <c r="F170" s="207"/>
      <c r="G170" s="137">
        <v>4.9770000000000003</v>
      </c>
      <c r="H170" s="99"/>
    </row>
    <row r="171" spans="1:8" ht="13.2" x14ac:dyDescent="0.25">
      <c r="A171" s="94"/>
      <c r="B171" s="94"/>
      <c r="C171" s="94"/>
      <c r="D171" s="135" t="s">
        <v>742</v>
      </c>
      <c r="E171" s="207"/>
      <c r="F171" s="207"/>
      <c r="G171" s="137">
        <v>3.4630000000000001</v>
      </c>
      <c r="H171" s="99"/>
    </row>
    <row r="172" spans="1:8" ht="15" customHeight="1" x14ac:dyDescent="0.25">
      <c r="A172" s="94" t="s">
        <v>396</v>
      </c>
      <c r="B172" s="94" t="s">
        <v>103</v>
      </c>
      <c r="C172" s="94" t="s">
        <v>391</v>
      </c>
      <c r="D172" s="199" t="s">
        <v>397</v>
      </c>
      <c r="E172" s="199"/>
      <c r="F172" s="94" t="s">
        <v>366</v>
      </c>
      <c r="G172" s="97">
        <v>83.965999999999994</v>
      </c>
      <c r="H172" s="97">
        <v>0</v>
      </c>
    </row>
    <row r="173" spans="1:8" x14ac:dyDescent="0.3">
      <c r="A173" s="134"/>
      <c r="B173" s="134"/>
      <c r="C173" s="134"/>
      <c r="D173" s="135" t="s">
        <v>743</v>
      </c>
      <c r="E173" s="207" t="s">
        <v>744</v>
      </c>
      <c r="F173" s="207"/>
      <c r="G173" s="137">
        <v>77.072000000000003</v>
      </c>
      <c r="H173" s="134"/>
    </row>
    <row r="174" spans="1:8" ht="13.2" x14ac:dyDescent="0.25">
      <c r="A174" s="94"/>
      <c r="B174" s="94"/>
      <c r="C174" s="94"/>
      <c r="D174" s="135" t="s">
        <v>745</v>
      </c>
      <c r="E174" s="207" t="s">
        <v>728</v>
      </c>
      <c r="F174" s="207"/>
      <c r="G174" s="137">
        <v>3.4380000000000002</v>
      </c>
      <c r="H174" s="99"/>
    </row>
    <row r="175" spans="1:8" ht="13.2" x14ac:dyDescent="0.25">
      <c r="A175" s="94"/>
      <c r="B175" s="94"/>
      <c r="C175" s="94"/>
      <c r="D175" s="135" t="s">
        <v>746</v>
      </c>
      <c r="E175" s="207" t="s">
        <v>730</v>
      </c>
      <c r="F175" s="207"/>
      <c r="G175" s="137">
        <v>3.456</v>
      </c>
      <c r="H175" s="99"/>
    </row>
    <row r="176" spans="1:8" ht="15" customHeight="1" x14ac:dyDescent="0.25">
      <c r="A176" s="94" t="s">
        <v>400</v>
      </c>
      <c r="B176" s="94" t="s">
        <v>103</v>
      </c>
      <c r="C176" s="94" t="s">
        <v>401</v>
      </c>
      <c r="D176" s="199" t="s">
        <v>402</v>
      </c>
      <c r="E176" s="199"/>
      <c r="F176" s="94" t="s">
        <v>323</v>
      </c>
      <c r="G176" s="97">
        <v>9.4580000000000002</v>
      </c>
      <c r="H176" s="97">
        <v>0</v>
      </c>
    </row>
    <row r="177" spans="1:8" x14ac:dyDescent="0.3">
      <c r="A177" s="134"/>
      <c r="B177" s="134"/>
      <c r="C177" s="134"/>
      <c r="D177" s="135" t="s">
        <v>747</v>
      </c>
      <c r="E177" s="207"/>
      <c r="F177" s="207"/>
      <c r="G177" s="137">
        <v>9.4580000000000002</v>
      </c>
      <c r="H177" s="134"/>
    </row>
    <row r="178" spans="1:8" ht="15" customHeight="1" x14ac:dyDescent="0.25">
      <c r="A178" s="94" t="s">
        <v>404</v>
      </c>
      <c r="B178" s="94" t="s">
        <v>103</v>
      </c>
      <c r="C178" s="94" t="s">
        <v>405</v>
      </c>
      <c r="D178" s="199" t="s">
        <v>406</v>
      </c>
      <c r="E178" s="199"/>
      <c r="F178" s="94" t="s">
        <v>323</v>
      </c>
      <c r="G178" s="97">
        <v>199.53</v>
      </c>
      <c r="H178" s="97">
        <v>0</v>
      </c>
    </row>
    <row r="179" spans="1:8" x14ac:dyDescent="0.3">
      <c r="A179" s="134"/>
      <c r="B179" s="134"/>
      <c r="C179" s="134"/>
      <c r="D179" s="135" t="s">
        <v>748</v>
      </c>
      <c r="E179" s="207"/>
      <c r="F179" s="207"/>
      <c r="G179" s="137">
        <v>199.53</v>
      </c>
      <c r="H179" s="134"/>
    </row>
    <row r="180" spans="1:8" ht="15" customHeight="1" x14ac:dyDescent="0.25">
      <c r="A180" s="94" t="s">
        <v>407</v>
      </c>
      <c r="B180" s="94" t="s">
        <v>103</v>
      </c>
      <c r="C180" s="94" t="s">
        <v>408</v>
      </c>
      <c r="D180" s="199" t="s">
        <v>409</v>
      </c>
      <c r="E180" s="199"/>
      <c r="F180" s="94" t="s">
        <v>323</v>
      </c>
      <c r="G180" s="97">
        <v>23.247</v>
      </c>
      <c r="H180" s="97">
        <v>0</v>
      </c>
    </row>
    <row r="181" spans="1:8" x14ac:dyDescent="0.3">
      <c r="A181" s="134"/>
      <c r="B181" s="134"/>
      <c r="C181" s="134"/>
      <c r="D181" s="135" t="s">
        <v>749</v>
      </c>
      <c r="E181" s="207" t="s">
        <v>750</v>
      </c>
      <c r="F181" s="207"/>
      <c r="G181" s="137">
        <v>23.247</v>
      </c>
      <c r="H181" s="134"/>
    </row>
    <row r="182" spans="1:8" ht="15" customHeight="1" x14ac:dyDescent="0.25">
      <c r="A182" s="94" t="s">
        <v>410</v>
      </c>
      <c r="B182" s="94" t="s">
        <v>103</v>
      </c>
      <c r="C182" s="94" t="s">
        <v>411</v>
      </c>
      <c r="D182" s="199" t="s">
        <v>412</v>
      </c>
      <c r="E182" s="199"/>
      <c r="F182" s="94" t="s">
        <v>323</v>
      </c>
      <c r="G182" s="97">
        <v>0.27</v>
      </c>
      <c r="H182" s="97">
        <v>0</v>
      </c>
    </row>
    <row r="183" spans="1:8" x14ac:dyDescent="0.3">
      <c r="A183" s="134"/>
      <c r="B183" s="134"/>
      <c r="C183" s="134"/>
      <c r="D183" s="135" t="s">
        <v>751</v>
      </c>
      <c r="E183" s="207"/>
      <c r="F183" s="207"/>
      <c r="G183" s="137">
        <v>0.27</v>
      </c>
      <c r="H183" s="134"/>
    </row>
    <row r="184" spans="1:8" ht="15" customHeight="1" x14ac:dyDescent="0.25">
      <c r="A184" s="94" t="s">
        <v>413</v>
      </c>
      <c r="B184" s="94" t="s">
        <v>103</v>
      </c>
      <c r="C184" s="94" t="s">
        <v>414</v>
      </c>
      <c r="D184" s="199" t="s">
        <v>415</v>
      </c>
      <c r="E184" s="199"/>
      <c r="F184" s="94" t="s">
        <v>323</v>
      </c>
      <c r="G184" s="97">
        <v>2.61</v>
      </c>
      <c r="H184" s="97">
        <v>0</v>
      </c>
    </row>
    <row r="185" spans="1:8" x14ac:dyDescent="0.3">
      <c r="A185" s="134"/>
      <c r="B185" s="134"/>
      <c r="C185" s="134"/>
      <c r="D185" s="135" t="s">
        <v>752</v>
      </c>
      <c r="E185" s="207" t="s">
        <v>753</v>
      </c>
      <c r="F185" s="207"/>
      <c r="G185" s="137">
        <v>2.61</v>
      </c>
      <c r="H185" s="134"/>
    </row>
    <row r="186" spans="1:8" ht="15" customHeight="1" x14ac:dyDescent="0.25">
      <c r="A186" s="94" t="s">
        <v>416</v>
      </c>
      <c r="B186" s="94" t="s">
        <v>103</v>
      </c>
      <c r="C186" s="94" t="s">
        <v>417</v>
      </c>
      <c r="D186" s="199" t="s">
        <v>418</v>
      </c>
      <c r="E186" s="199"/>
      <c r="F186" s="94" t="s">
        <v>323</v>
      </c>
      <c r="G186" s="97">
        <v>1.7150000000000001</v>
      </c>
      <c r="H186" s="97">
        <v>0</v>
      </c>
    </row>
    <row r="187" spans="1:8" x14ac:dyDescent="0.3">
      <c r="A187" s="134"/>
      <c r="B187" s="134"/>
      <c r="C187" s="134"/>
      <c r="D187" s="135" t="s">
        <v>754</v>
      </c>
      <c r="E187" s="207" t="s">
        <v>755</v>
      </c>
      <c r="F187" s="207"/>
      <c r="G187" s="137">
        <v>1.7150000000000001</v>
      </c>
      <c r="H187" s="134"/>
    </row>
    <row r="188" spans="1:8" ht="15" customHeight="1" x14ac:dyDescent="0.25">
      <c r="A188" s="94" t="s">
        <v>419</v>
      </c>
      <c r="B188" s="94" t="s">
        <v>103</v>
      </c>
      <c r="C188" s="94" t="s">
        <v>420</v>
      </c>
      <c r="D188" s="199" t="s">
        <v>421</v>
      </c>
      <c r="E188" s="199"/>
      <c r="F188" s="94" t="s">
        <v>323</v>
      </c>
      <c r="G188" s="97">
        <v>0.55300000000000005</v>
      </c>
      <c r="H188" s="97">
        <v>0</v>
      </c>
    </row>
    <row r="189" spans="1:8" x14ac:dyDescent="0.3">
      <c r="A189" s="134"/>
      <c r="B189" s="134"/>
      <c r="C189" s="134"/>
      <c r="D189" s="135" t="s">
        <v>756</v>
      </c>
      <c r="E189" s="207" t="s">
        <v>757</v>
      </c>
      <c r="F189" s="207"/>
      <c r="G189" s="137">
        <v>0.55300000000000005</v>
      </c>
      <c r="H189" s="134"/>
    </row>
    <row r="190" spans="1:8" ht="15" customHeight="1" x14ac:dyDescent="0.25">
      <c r="A190" s="94" t="s">
        <v>422</v>
      </c>
      <c r="B190" s="94" t="s">
        <v>103</v>
      </c>
      <c r="C190" s="94" t="s">
        <v>423</v>
      </c>
      <c r="D190" s="199" t="s">
        <v>424</v>
      </c>
      <c r="E190" s="199"/>
      <c r="F190" s="94" t="s">
        <v>323</v>
      </c>
      <c r="G190" s="97">
        <v>2.5539999999999998</v>
      </c>
      <c r="H190" s="97">
        <v>0</v>
      </c>
    </row>
    <row r="191" spans="1:8" x14ac:dyDescent="0.3">
      <c r="A191" s="134"/>
      <c r="B191" s="134"/>
      <c r="C191" s="134"/>
      <c r="D191" s="135" t="s">
        <v>758</v>
      </c>
      <c r="E191" s="207" t="s">
        <v>759</v>
      </c>
      <c r="F191" s="207"/>
      <c r="G191" s="137">
        <v>0.224</v>
      </c>
      <c r="H191" s="134"/>
    </row>
    <row r="192" spans="1:8" ht="13.2" x14ac:dyDescent="0.25">
      <c r="A192" s="94"/>
      <c r="B192" s="94"/>
      <c r="C192" s="94"/>
      <c r="D192" s="135" t="s">
        <v>760</v>
      </c>
      <c r="E192" s="207" t="s">
        <v>761</v>
      </c>
      <c r="F192" s="207"/>
      <c r="G192" s="137">
        <v>4.2999999999999997E-2</v>
      </c>
      <c r="H192" s="99"/>
    </row>
    <row r="193" spans="1:8" ht="13.2" x14ac:dyDescent="0.25">
      <c r="A193" s="94"/>
      <c r="B193" s="94"/>
      <c r="C193" s="94"/>
      <c r="D193" s="135" t="s">
        <v>762</v>
      </c>
      <c r="E193" s="207" t="s">
        <v>763</v>
      </c>
      <c r="F193" s="207"/>
      <c r="G193" s="137">
        <v>1.411</v>
      </c>
      <c r="H193" s="99"/>
    </row>
    <row r="194" spans="1:8" ht="13.2" x14ac:dyDescent="0.25">
      <c r="A194" s="94"/>
      <c r="B194" s="94"/>
      <c r="C194" s="94"/>
      <c r="D194" s="135" t="s">
        <v>764</v>
      </c>
      <c r="E194" s="207" t="s">
        <v>765</v>
      </c>
      <c r="F194" s="207"/>
      <c r="G194" s="137">
        <v>0.504</v>
      </c>
      <c r="H194" s="99"/>
    </row>
    <row r="195" spans="1:8" ht="13.2" x14ac:dyDescent="0.25">
      <c r="A195" s="94"/>
      <c r="B195" s="94"/>
      <c r="C195" s="94"/>
      <c r="D195" s="135" t="s">
        <v>766</v>
      </c>
      <c r="E195" s="207" t="s">
        <v>767</v>
      </c>
      <c r="F195" s="207"/>
      <c r="G195" s="137">
        <v>0.372</v>
      </c>
      <c r="H195" s="99"/>
    </row>
    <row r="196" spans="1:8" ht="15" customHeight="1" x14ac:dyDescent="0.25">
      <c r="A196" s="94" t="s">
        <v>425</v>
      </c>
      <c r="B196" s="94" t="s">
        <v>103</v>
      </c>
      <c r="C196" s="94" t="s">
        <v>426</v>
      </c>
      <c r="D196" s="199" t="s">
        <v>427</v>
      </c>
      <c r="E196" s="199"/>
      <c r="F196" s="94" t="s">
        <v>323</v>
      </c>
      <c r="G196" s="97">
        <v>2.0249999999999999</v>
      </c>
      <c r="H196" s="97">
        <v>0</v>
      </c>
    </row>
    <row r="197" spans="1:8" x14ac:dyDescent="0.3">
      <c r="A197" s="134"/>
      <c r="B197" s="134"/>
      <c r="C197" s="134"/>
      <c r="D197" s="135" t="s">
        <v>768</v>
      </c>
      <c r="E197" s="207" t="s">
        <v>769</v>
      </c>
      <c r="F197" s="207"/>
      <c r="G197" s="137">
        <v>2.0249999999999999</v>
      </c>
      <c r="H197" s="134"/>
    </row>
    <row r="198" spans="1:8" ht="15" customHeight="1" x14ac:dyDescent="0.25">
      <c r="A198" s="94" t="s">
        <v>428</v>
      </c>
      <c r="B198" s="94" t="s">
        <v>103</v>
      </c>
      <c r="C198" s="94" t="s">
        <v>429</v>
      </c>
      <c r="D198" s="199" t="s">
        <v>430</v>
      </c>
      <c r="E198" s="199"/>
      <c r="F198" s="94" t="s">
        <v>323</v>
      </c>
      <c r="G198" s="97">
        <v>3.8879999999999999</v>
      </c>
      <c r="H198" s="97">
        <v>0</v>
      </c>
    </row>
    <row r="199" spans="1:8" x14ac:dyDescent="0.3">
      <c r="A199" s="134"/>
      <c r="B199" s="134"/>
      <c r="C199" s="134"/>
      <c r="D199" s="135" t="s">
        <v>770</v>
      </c>
      <c r="E199" s="207" t="s">
        <v>771</v>
      </c>
      <c r="F199" s="207"/>
      <c r="G199" s="137">
        <v>3.8879999999999999</v>
      </c>
      <c r="H199" s="134"/>
    </row>
    <row r="200" spans="1:8" ht="15" customHeight="1" x14ac:dyDescent="0.25">
      <c r="A200" s="94" t="s">
        <v>431</v>
      </c>
      <c r="B200" s="94" t="s">
        <v>103</v>
      </c>
      <c r="C200" s="94" t="s">
        <v>432</v>
      </c>
      <c r="D200" s="199" t="s">
        <v>433</v>
      </c>
      <c r="E200" s="199"/>
      <c r="F200" s="94" t="s">
        <v>323</v>
      </c>
      <c r="G200" s="97">
        <v>605.73099999999999</v>
      </c>
      <c r="H200" s="97">
        <v>0</v>
      </c>
    </row>
    <row r="201" spans="1:8" x14ac:dyDescent="0.3">
      <c r="A201" s="134"/>
      <c r="B201" s="134"/>
      <c r="C201" s="134"/>
      <c r="D201" s="135" t="s">
        <v>772</v>
      </c>
      <c r="E201" s="207"/>
      <c r="F201" s="207"/>
      <c r="G201" s="137">
        <v>605.73099999999999</v>
      </c>
      <c r="H201" s="134"/>
    </row>
    <row r="202" spans="1:8" ht="15" customHeight="1" x14ac:dyDescent="0.25">
      <c r="A202" s="94" t="s">
        <v>434</v>
      </c>
      <c r="B202" s="94" t="s">
        <v>103</v>
      </c>
      <c r="C202" s="94" t="s">
        <v>435</v>
      </c>
      <c r="D202" s="199" t="s">
        <v>436</v>
      </c>
      <c r="E202" s="199"/>
      <c r="F202" s="94" t="s">
        <v>323</v>
      </c>
      <c r="G202" s="97">
        <v>0.97699999999999998</v>
      </c>
      <c r="H202" s="97">
        <v>0</v>
      </c>
    </row>
    <row r="203" spans="1:8" x14ac:dyDescent="0.3">
      <c r="A203" s="134"/>
      <c r="B203" s="134"/>
      <c r="C203" s="134"/>
      <c r="D203" s="135" t="s">
        <v>773</v>
      </c>
      <c r="E203" s="207"/>
      <c r="F203" s="207"/>
      <c r="G203" s="137">
        <v>0.97699999999999998</v>
      </c>
      <c r="H203" s="134"/>
    </row>
    <row r="204" spans="1:8" ht="15" customHeight="1" x14ac:dyDescent="0.25">
      <c r="A204" s="94" t="s">
        <v>437</v>
      </c>
      <c r="B204" s="94" t="s">
        <v>103</v>
      </c>
      <c r="C204" s="94" t="s">
        <v>438</v>
      </c>
      <c r="D204" s="199" t="s">
        <v>439</v>
      </c>
      <c r="E204" s="199"/>
      <c r="F204" s="94" t="s">
        <v>323</v>
      </c>
      <c r="G204" s="97">
        <v>287.60199999999998</v>
      </c>
      <c r="H204" s="97">
        <v>0</v>
      </c>
    </row>
    <row r="205" spans="1:8" x14ac:dyDescent="0.3">
      <c r="A205" s="134"/>
      <c r="B205" s="134"/>
      <c r="C205" s="134"/>
      <c r="D205" s="135" t="s">
        <v>774</v>
      </c>
      <c r="E205" s="207"/>
      <c r="F205" s="207"/>
      <c r="G205" s="137">
        <v>287.60199999999998</v>
      </c>
      <c r="H205" s="134"/>
    </row>
    <row r="206" spans="1:8" ht="15" customHeight="1" x14ac:dyDescent="0.25">
      <c r="A206" s="94" t="s">
        <v>440</v>
      </c>
      <c r="B206" s="94" t="s">
        <v>103</v>
      </c>
      <c r="C206" s="94" t="s">
        <v>441</v>
      </c>
      <c r="D206" s="199" t="s">
        <v>442</v>
      </c>
      <c r="E206" s="199"/>
      <c r="F206" s="94" t="s">
        <v>323</v>
      </c>
      <c r="G206" s="97">
        <v>287.60199999999998</v>
      </c>
      <c r="H206" s="97">
        <v>0</v>
      </c>
    </row>
    <row r="207" spans="1:8" x14ac:dyDescent="0.3">
      <c r="A207" s="134"/>
      <c r="B207" s="134"/>
      <c r="C207" s="134"/>
      <c r="D207" s="135" t="s">
        <v>775</v>
      </c>
      <c r="E207" s="207"/>
      <c r="F207" s="207"/>
      <c r="G207" s="137">
        <v>287.60199999999998</v>
      </c>
      <c r="H207" s="134"/>
    </row>
    <row r="208" spans="1:8" ht="15" customHeight="1" x14ac:dyDescent="0.25">
      <c r="A208" s="94" t="s">
        <v>443</v>
      </c>
      <c r="B208" s="94" t="s">
        <v>103</v>
      </c>
      <c r="C208" s="94" t="s">
        <v>444</v>
      </c>
      <c r="D208" s="199" t="s">
        <v>445</v>
      </c>
      <c r="E208" s="199"/>
      <c r="F208" s="94" t="s">
        <v>323</v>
      </c>
      <c r="G208" s="97">
        <v>47.296999999999997</v>
      </c>
      <c r="H208" s="97">
        <v>0</v>
      </c>
    </row>
    <row r="209" spans="1:8" x14ac:dyDescent="0.3">
      <c r="A209" s="134"/>
      <c r="B209" s="134"/>
      <c r="C209" s="134"/>
      <c r="D209" s="135" t="s">
        <v>776</v>
      </c>
      <c r="E209" s="207"/>
      <c r="F209" s="207"/>
      <c r="G209" s="137">
        <v>47.296999999999997</v>
      </c>
      <c r="H209" s="134"/>
    </row>
    <row r="210" spans="1:8" ht="15" customHeight="1" x14ac:dyDescent="0.25">
      <c r="A210" s="94" t="s">
        <v>446</v>
      </c>
      <c r="B210" s="94" t="s">
        <v>103</v>
      </c>
      <c r="C210" s="94" t="s">
        <v>447</v>
      </c>
      <c r="D210" s="199" t="s">
        <v>448</v>
      </c>
      <c r="E210" s="199"/>
      <c r="F210" s="94" t="s">
        <v>323</v>
      </c>
      <c r="G210" s="97">
        <v>94.593999999999994</v>
      </c>
      <c r="H210" s="97">
        <v>0</v>
      </c>
    </row>
    <row r="211" spans="1:8" x14ac:dyDescent="0.3">
      <c r="A211" s="134"/>
      <c r="B211" s="134"/>
      <c r="C211" s="134"/>
      <c r="D211" s="135" t="s">
        <v>777</v>
      </c>
      <c r="E211" s="207"/>
      <c r="F211" s="207"/>
      <c r="G211" s="137">
        <v>94.593999999999994</v>
      </c>
      <c r="H211" s="134"/>
    </row>
    <row r="212" spans="1:8" ht="15" customHeight="1" x14ac:dyDescent="0.25">
      <c r="A212" s="94" t="s">
        <v>449</v>
      </c>
      <c r="B212" s="94" t="s">
        <v>103</v>
      </c>
      <c r="C212" s="94" t="s">
        <v>450</v>
      </c>
      <c r="D212" s="199" t="s">
        <v>451</v>
      </c>
      <c r="E212" s="199"/>
      <c r="F212" s="94" t="s">
        <v>323</v>
      </c>
      <c r="G212" s="97">
        <v>47.296999999999997</v>
      </c>
      <c r="H212" s="97">
        <v>0</v>
      </c>
    </row>
    <row r="213" spans="1:8" x14ac:dyDescent="0.3">
      <c r="A213" s="134"/>
      <c r="B213" s="134"/>
      <c r="C213" s="134"/>
      <c r="D213" s="135" t="s">
        <v>778</v>
      </c>
      <c r="E213" s="207"/>
      <c r="F213" s="207"/>
      <c r="G213" s="137">
        <v>47.296999999999997</v>
      </c>
      <c r="H213" s="134"/>
    </row>
    <row r="214" spans="1:8" ht="15" customHeight="1" x14ac:dyDescent="0.25">
      <c r="A214" s="94" t="s">
        <v>452</v>
      </c>
      <c r="B214" s="94" t="s">
        <v>103</v>
      </c>
      <c r="C214" s="94" t="s">
        <v>453</v>
      </c>
      <c r="D214" s="199" t="s">
        <v>454</v>
      </c>
      <c r="E214" s="199"/>
      <c r="F214" s="94" t="s">
        <v>323</v>
      </c>
      <c r="G214" s="97">
        <v>862.80700000000002</v>
      </c>
      <c r="H214" s="97">
        <v>0</v>
      </c>
    </row>
    <row r="215" spans="1:8" x14ac:dyDescent="0.3">
      <c r="A215" s="134"/>
      <c r="B215" s="134"/>
      <c r="C215" s="134"/>
      <c r="D215" s="135" t="s">
        <v>779</v>
      </c>
      <c r="E215" s="207" t="s">
        <v>780</v>
      </c>
      <c r="F215" s="207"/>
      <c r="G215" s="137">
        <v>859.65700000000004</v>
      </c>
      <c r="H215" s="134"/>
    </row>
    <row r="216" spans="1:8" ht="13.2" x14ac:dyDescent="0.25">
      <c r="A216" s="94"/>
      <c r="B216" s="94"/>
      <c r="C216" s="94"/>
      <c r="D216" s="135" t="s">
        <v>781</v>
      </c>
      <c r="E216" s="207" t="s">
        <v>782</v>
      </c>
      <c r="F216" s="207"/>
      <c r="G216" s="137">
        <v>0.5</v>
      </c>
      <c r="H216" s="99"/>
    </row>
    <row r="217" spans="1:8" ht="13.2" x14ac:dyDescent="0.25">
      <c r="A217" s="94"/>
      <c r="B217" s="94"/>
      <c r="C217" s="94"/>
      <c r="D217" s="135" t="s">
        <v>783</v>
      </c>
      <c r="E217" s="207" t="s">
        <v>784</v>
      </c>
      <c r="F217" s="207"/>
      <c r="G217" s="137">
        <v>0.95</v>
      </c>
      <c r="H217" s="99"/>
    </row>
    <row r="218" spans="1:8" ht="13.2" x14ac:dyDescent="0.25">
      <c r="A218" s="94"/>
      <c r="B218" s="94"/>
      <c r="C218" s="94"/>
      <c r="D218" s="135" t="s">
        <v>781</v>
      </c>
      <c r="E218" s="207" t="s">
        <v>785</v>
      </c>
      <c r="F218" s="207"/>
      <c r="G218" s="137">
        <v>0.5</v>
      </c>
      <c r="H218" s="99"/>
    </row>
    <row r="219" spans="1:8" ht="13.2" x14ac:dyDescent="0.25">
      <c r="A219" s="94"/>
      <c r="B219" s="94"/>
      <c r="C219" s="94"/>
      <c r="D219" s="135" t="s">
        <v>786</v>
      </c>
      <c r="E219" s="207" t="s">
        <v>787</v>
      </c>
      <c r="F219" s="207"/>
      <c r="G219" s="137">
        <v>0.2</v>
      </c>
      <c r="H219" s="99"/>
    </row>
    <row r="220" spans="1:8" ht="13.2" x14ac:dyDescent="0.25">
      <c r="A220" s="94"/>
      <c r="B220" s="94"/>
      <c r="C220" s="94"/>
      <c r="D220" s="135" t="s">
        <v>152</v>
      </c>
      <c r="E220" s="207" t="s">
        <v>788</v>
      </c>
      <c r="F220" s="207"/>
      <c r="G220" s="137">
        <v>1</v>
      </c>
      <c r="H220" s="99"/>
    </row>
    <row r="221" spans="1:8" ht="15" customHeight="1" x14ac:dyDescent="0.25">
      <c r="A221" s="94" t="s">
        <v>455</v>
      </c>
      <c r="B221" s="94" t="s">
        <v>103</v>
      </c>
      <c r="C221" s="94" t="s">
        <v>456</v>
      </c>
      <c r="D221" s="199" t="s">
        <v>457</v>
      </c>
      <c r="E221" s="199"/>
      <c r="F221" s="94" t="s">
        <v>323</v>
      </c>
      <c r="G221" s="97">
        <v>6902.4560000000001</v>
      </c>
      <c r="H221" s="97">
        <v>0</v>
      </c>
    </row>
    <row r="222" spans="1:8" x14ac:dyDescent="0.3">
      <c r="A222" s="134"/>
      <c r="B222" s="134"/>
      <c r="C222" s="134"/>
      <c r="D222" s="135" t="s">
        <v>789</v>
      </c>
      <c r="E222" s="207"/>
      <c r="F222" s="207"/>
      <c r="G222" s="137">
        <v>6902.4560000000001</v>
      </c>
      <c r="H222" s="134"/>
    </row>
    <row r="223" spans="1:8" ht="15" customHeight="1" x14ac:dyDescent="0.25">
      <c r="A223" s="94" t="s">
        <v>458</v>
      </c>
      <c r="B223" s="94" t="s">
        <v>103</v>
      </c>
      <c r="C223" s="94" t="s">
        <v>459</v>
      </c>
      <c r="D223" s="199" t="s">
        <v>460</v>
      </c>
      <c r="E223" s="199"/>
      <c r="F223" s="94" t="s">
        <v>323</v>
      </c>
      <c r="G223" s="97">
        <v>0.72599999999999998</v>
      </c>
      <c r="H223" s="97">
        <v>0</v>
      </c>
    </row>
    <row r="224" spans="1:8" x14ac:dyDescent="0.3">
      <c r="A224" s="134"/>
      <c r="B224" s="134"/>
      <c r="C224" s="134"/>
      <c r="D224" s="135" t="s">
        <v>790</v>
      </c>
      <c r="E224" s="207" t="s">
        <v>791</v>
      </c>
      <c r="F224" s="207"/>
      <c r="G224" s="137">
        <v>0.29799999999999999</v>
      </c>
      <c r="H224" s="134"/>
    </row>
    <row r="225" spans="1:8" ht="13.2" x14ac:dyDescent="0.25">
      <c r="A225" s="94"/>
      <c r="B225" s="94"/>
      <c r="C225" s="94"/>
      <c r="D225" s="135" t="s">
        <v>792</v>
      </c>
      <c r="E225" s="207" t="s">
        <v>793</v>
      </c>
      <c r="F225" s="207"/>
      <c r="G225" s="137">
        <v>0.42799999999999999</v>
      </c>
      <c r="H225" s="99"/>
    </row>
    <row r="226" spans="1:8" ht="15" customHeight="1" x14ac:dyDescent="0.25">
      <c r="A226" s="94" t="s">
        <v>461</v>
      </c>
      <c r="B226" s="94" t="s">
        <v>103</v>
      </c>
      <c r="C226" s="94" t="s">
        <v>462</v>
      </c>
      <c r="D226" s="199" t="s">
        <v>463</v>
      </c>
      <c r="E226" s="199"/>
      <c r="F226" s="94" t="s">
        <v>323</v>
      </c>
      <c r="G226" s="97">
        <v>3.0649999999999999</v>
      </c>
      <c r="H226" s="97">
        <v>0</v>
      </c>
    </row>
    <row r="227" spans="1:8" x14ac:dyDescent="0.3">
      <c r="A227" s="134"/>
      <c r="B227" s="134"/>
      <c r="C227" s="134"/>
      <c r="D227" s="135" t="s">
        <v>794</v>
      </c>
      <c r="E227" s="207" t="s">
        <v>795</v>
      </c>
      <c r="F227" s="207"/>
      <c r="G227" s="137">
        <v>1.4970000000000001</v>
      </c>
      <c r="H227" s="134"/>
    </row>
    <row r="228" spans="1:8" ht="13.2" x14ac:dyDescent="0.25">
      <c r="A228" s="94"/>
      <c r="B228" s="94"/>
      <c r="C228" s="94"/>
      <c r="D228" s="135" t="s">
        <v>796</v>
      </c>
      <c r="E228" s="207" t="s">
        <v>797</v>
      </c>
      <c r="F228" s="207"/>
      <c r="G228" s="137">
        <v>0.55300000000000005</v>
      </c>
      <c r="H228" s="99"/>
    </row>
    <row r="229" spans="1:8" ht="13.2" x14ac:dyDescent="0.25">
      <c r="A229" s="94"/>
      <c r="B229" s="94"/>
      <c r="C229" s="94"/>
      <c r="D229" s="135" t="s">
        <v>798</v>
      </c>
      <c r="E229" s="207" t="s">
        <v>799</v>
      </c>
      <c r="F229" s="207"/>
      <c r="G229" s="137">
        <v>1.0149999999999999</v>
      </c>
      <c r="H229" s="99"/>
    </row>
    <row r="230" spans="1:8" ht="15" customHeight="1" x14ac:dyDescent="0.25">
      <c r="A230" s="94" t="s">
        <v>464</v>
      </c>
      <c r="B230" s="94" t="s">
        <v>103</v>
      </c>
      <c r="C230" s="94" t="s">
        <v>465</v>
      </c>
      <c r="D230" s="199" t="s">
        <v>466</v>
      </c>
      <c r="E230" s="199"/>
      <c r="F230" s="94" t="s">
        <v>323</v>
      </c>
      <c r="G230" s="97">
        <v>0.219</v>
      </c>
      <c r="H230" s="97">
        <v>0</v>
      </c>
    </row>
    <row r="231" spans="1:8" x14ac:dyDescent="0.3">
      <c r="A231" s="134"/>
      <c r="B231" s="134"/>
      <c r="C231" s="134"/>
      <c r="D231" s="135" t="s">
        <v>800</v>
      </c>
      <c r="E231" s="207" t="s">
        <v>801</v>
      </c>
      <c r="F231" s="207"/>
      <c r="G231" s="137">
        <v>0.219</v>
      </c>
      <c r="H231" s="134"/>
    </row>
    <row r="232" spans="1:8" ht="15" customHeight="1" x14ac:dyDescent="0.25">
      <c r="A232" s="94" t="s">
        <v>468</v>
      </c>
      <c r="B232" s="94" t="s">
        <v>106</v>
      </c>
      <c r="C232" s="94" t="s">
        <v>469</v>
      </c>
      <c r="D232" s="199" t="s">
        <v>470</v>
      </c>
      <c r="E232" s="199"/>
      <c r="F232" s="94" t="s">
        <v>155</v>
      </c>
      <c r="G232" s="97">
        <v>202.381</v>
      </c>
      <c r="H232" s="97">
        <v>0</v>
      </c>
    </row>
    <row r="233" spans="1:8" x14ac:dyDescent="0.3">
      <c r="A233" s="134"/>
      <c r="B233" s="134"/>
      <c r="C233" s="134"/>
      <c r="D233" s="135" t="s">
        <v>802</v>
      </c>
      <c r="E233" s="207" t="s">
        <v>803</v>
      </c>
      <c r="F233" s="207"/>
      <c r="G233" s="137">
        <v>166.27500000000001</v>
      </c>
      <c r="H233" s="134"/>
    </row>
    <row r="234" spans="1:8" ht="13.2" x14ac:dyDescent="0.25">
      <c r="A234" s="94"/>
      <c r="B234" s="94"/>
      <c r="C234" s="94"/>
      <c r="D234" s="135" t="s">
        <v>804</v>
      </c>
      <c r="E234" s="207" t="s">
        <v>805</v>
      </c>
      <c r="F234" s="207"/>
      <c r="G234" s="137">
        <v>-8.8940000000000001</v>
      </c>
      <c r="H234" s="99"/>
    </row>
    <row r="235" spans="1:8" ht="13.2" x14ac:dyDescent="0.25">
      <c r="A235" s="94"/>
      <c r="B235" s="94"/>
      <c r="C235" s="94"/>
      <c r="D235" s="135" t="s">
        <v>806</v>
      </c>
      <c r="E235" s="207" t="s">
        <v>807</v>
      </c>
      <c r="F235" s="207"/>
      <c r="G235" s="137">
        <v>45</v>
      </c>
      <c r="H235" s="99"/>
    </row>
    <row r="236" spans="1:8" ht="15" customHeight="1" x14ac:dyDescent="0.25">
      <c r="A236" s="94" t="s">
        <v>475</v>
      </c>
      <c r="B236" s="94" t="s">
        <v>106</v>
      </c>
      <c r="C236" s="94" t="s">
        <v>476</v>
      </c>
      <c r="D236" s="199" t="s">
        <v>477</v>
      </c>
      <c r="E236" s="199"/>
      <c r="F236" s="94" t="s">
        <v>366</v>
      </c>
      <c r="G236" s="97">
        <v>71.153999999999996</v>
      </c>
      <c r="H236" s="97">
        <v>0</v>
      </c>
    </row>
    <row r="237" spans="1:8" x14ac:dyDescent="0.3">
      <c r="A237" s="134"/>
      <c r="B237" s="134"/>
      <c r="C237" s="134"/>
      <c r="D237" s="135" t="s">
        <v>808</v>
      </c>
      <c r="E237" s="207"/>
      <c r="F237" s="207"/>
      <c r="G237" s="137">
        <v>71.153999999999996</v>
      </c>
      <c r="H237" s="134"/>
    </row>
    <row r="238" spans="1:8" ht="15" customHeight="1" x14ac:dyDescent="0.25">
      <c r="A238" s="94" t="s">
        <v>479</v>
      </c>
      <c r="B238" s="94" t="s">
        <v>106</v>
      </c>
      <c r="C238" s="94" t="s">
        <v>480</v>
      </c>
      <c r="D238" s="199" t="s">
        <v>481</v>
      </c>
      <c r="E238" s="199"/>
      <c r="F238" s="94" t="s">
        <v>366</v>
      </c>
      <c r="G238" s="97">
        <v>569.23199999999997</v>
      </c>
      <c r="H238" s="97">
        <v>0</v>
      </c>
    </row>
    <row r="239" spans="1:8" x14ac:dyDescent="0.3">
      <c r="A239" s="134"/>
      <c r="B239" s="134"/>
      <c r="C239" s="134"/>
      <c r="D239" s="135" t="s">
        <v>809</v>
      </c>
      <c r="E239" s="207"/>
      <c r="F239" s="207"/>
      <c r="G239" s="137">
        <v>569.23199999999997</v>
      </c>
      <c r="H239" s="134"/>
    </row>
    <row r="240" spans="1:8" ht="15" customHeight="1" x14ac:dyDescent="0.25">
      <c r="A240" s="94" t="s">
        <v>483</v>
      </c>
      <c r="B240" s="94" t="s">
        <v>106</v>
      </c>
      <c r="C240" s="94" t="s">
        <v>484</v>
      </c>
      <c r="D240" s="199" t="s">
        <v>485</v>
      </c>
      <c r="E240" s="199"/>
      <c r="F240" s="94" t="s">
        <v>366</v>
      </c>
      <c r="G240" s="97">
        <v>71.153999999999996</v>
      </c>
      <c r="H240" s="97">
        <v>0</v>
      </c>
    </row>
    <row r="241" spans="1:8" x14ac:dyDescent="0.3">
      <c r="A241" s="134"/>
      <c r="B241" s="134"/>
      <c r="C241" s="134"/>
      <c r="D241" s="135" t="s">
        <v>808</v>
      </c>
      <c r="E241" s="207"/>
      <c r="F241" s="207"/>
      <c r="G241" s="137">
        <v>71.153999999999996</v>
      </c>
      <c r="H241" s="134"/>
    </row>
    <row r="242" spans="1:8" ht="15" customHeight="1" x14ac:dyDescent="0.25">
      <c r="A242" s="105" t="s">
        <v>282</v>
      </c>
      <c r="B242" s="105" t="s">
        <v>106</v>
      </c>
      <c r="C242" s="105" t="s">
        <v>487</v>
      </c>
      <c r="D242" s="201" t="s">
        <v>488</v>
      </c>
      <c r="E242" s="201"/>
      <c r="F242" s="105" t="s">
        <v>323</v>
      </c>
      <c r="G242" s="108">
        <v>113.846</v>
      </c>
      <c r="H242" s="108">
        <v>0</v>
      </c>
    </row>
    <row r="243" spans="1:8" x14ac:dyDescent="0.3">
      <c r="A243" s="134"/>
      <c r="B243" s="134"/>
      <c r="C243" s="134"/>
      <c r="D243" s="135" t="s">
        <v>810</v>
      </c>
      <c r="E243" s="207"/>
      <c r="F243" s="207"/>
      <c r="G243" s="138">
        <v>113.846</v>
      </c>
      <c r="H243" s="134"/>
    </row>
    <row r="244" spans="1:8" ht="15" customHeight="1" x14ac:dyDescent="0.25">
      <c r="A244" s="94" t="s">
        <v>490</v>
      </c>
      <c r="B244" s="94" t="s">
        <v>106</v>
      </c>
      <c r="C244" s="94" t="s">
        <v>374</v>
      </c>
      <c r="D244" s="199" t="s">
        <v>375</v>
      </c>
      <c r="E244" s="199"/>
      <c r="F244" s="94" t="s">
        <v>366</v>
      </c>
      <c r="G244" s="97">
        <v>9</v>
      </c>
      <c r="H244" s="97">
        <v>0</v>
      </c>
    </row>
    <row r="245" spans="1:8" x14ac:dyDescent="0.3">
      <c r="A245" s="134"/>
      <c r="B245" s="134"/>
      <c r="C245" s="134"/>
      <c r="D245" s="135" t="s">
        <v>811</v>
      </c>
      <c r="E245" s="207" t="s">
        <v>812</v>
      </c>
      <c r="F245" s="207"/>
      <c r="G245" s="137">
        <v>4.5</v>
      </c>
      <c r="H245" s="134"/>
    </row>
    <row r="246" spans="1:8" ht="13.2" x14ac:dyDescent="0.25">
      <c r="A246" s="94"/>
      <c r="B246" s="94"/>
      <c r="C246" s="94"/>
      <c r="D246" s="135" t="s">
        <v>811</v>
      </c>
      <c r="E246" s="207" t="s">
        <v>813</v>
      </c>
      <c r="F246" s="207"/>
      <c r="G246" s="137">
        <v>4.5</v>
      </c>
      <c r="H246" s="99"/>
    </row>
    <row r="247" spans="1:8" ht="15" customHeight="1" x14ac:dyDescent="0.25">
      <c r="A247" s="94" t="s">
        <v>492</v>
      </c>
      <c r="B247" s="94" t="s">
        <v>106</v>
      </c>
      <c r="C247" s="94" t="s">
        <v>371</v>
      </c>
      <c r="D247" s="199" t="s">
        <v>372</v>
      </c>
      <c r="E247" s="199"/>
      <c r="F247" s="94" t="s">
        <v>366</v>
      </c>
      <c r="G247" s="97">
        <v>6</v>
      </c>
      <c r="H247" s="97">
        <v>0</v>
      </c>
    </row>
    <row r="248" spans="1:8" x14ac:dyDescent="0.3">
      <c r="A248" s="134"/>
      <c r="B248" s="134"/>
      <c r="C248" s="134"/>
      <c r="D248" s="135" t="s">
        <v>814</v>
      </c>
      <c r="E248" s="207" t="s">
        <v>815</v>
      </c>
      <c r="F248" s="207"/>
      <c r="G248" s="137">
        <v>6</v>
      </c>
      <c r="H248" s="134"/>
    </row>
    <row r="249" spans="1:8" ht="15" customHeight="1" x14ac:dyDescent="0.25">
      <c r="A249" s="94" t="s">
        <v>493</v>
      </c>
      <c r="B249" s="94" t="s">
        <v>106</v>
      </c>
      <c r="C249" s="94" t="s">
        <v>379</v>
      </c>
      <c r="D249" s="199" t="s">
        <v>494</v>
      </c>
      <c r="E249" s="199"/>
      <c r="F249" s="94" t="s">
        <v>176</v>
      </c>
      <c r="G249" s="97">
        <v>10</v>
      </c>
      <c r="H249" s="97">
        <v>0</v>
      </c>
    </row>
    <row r="250" spans="1:8" x14ac:dyDescent="0.3">
      <c r="A250" s="134"/>
      <c r="B250" s="134"/>
      <c r="C250" s="134"/>
      <c r="D250" s="135" t="s">
        <v>200</v>
      </c>
      <c r="E250" s="207"/>
      <c r="F250" s="207"/>
      <c r="G250" s="137">
        <v>10</v>
      </c>
      <c r="H250" s="134"/>
    </row>
    <row r="251" spans="1:8" ht="15" customHeight="1" x14ac:dyDescent="0.25">
      <c r="A251" s="94" t="s">
        <v>305</v>
      </c>
      <c r="B251" s="94" t="s">
        <v>106</v>
      </c>
      <c r="C251" s="94" t="s">
        <v>453</v>
      </c>
      <c r="D251" s="199" t="s">
        <v>454</v>
      </c>
      <c r="E251" s="199"/>
      <c r="F251" s="94" t="s">
        <v>323</v>
      </c>
      <c r="G251" s="97">
        <v>98.585999999999999</v>
      </c>
      <c r="H251" s="97">
        <v>0</v>
      </c>
    </row>
    <row r="252" spans="1:8" x14ac:dyDescent="0.3">
      <c r="A252" s="134"/>
      <c r="B252" s="134"/>
      <c r="C252" s="134"/>
      <c r="D252" s="135" t="s">
        <v>816</v>
      </c>
      <c r="E252" s="207"/>
      <c r="F252" s="207"/>
      <c r="G252" s="137">
        <v>98.585999999999999</v>
      </c>
      <c r="H252" s="134"/>
    </row>
    <row r="253" spans="1:8" ht="15" customHeight="1" x14ac:dyDescent="0.25">
      <c r="A253" s="94" t="s">
        <v>495</v>
      </c>
      <c r="B253" s="94" t="s">
        <v>106</v>
      </c>
      <c r="C253" s="94" t="s">
        <v>456</v>
      </c>
      <c r="D253" s="199" t="s">
        <v>457</v>
      </c>
      <c r="E253" s="199"/>
      <c r="F253" s="94" t="s">
        <v>323</v>
      </c>
      <c r="G253" s="97">
        <v>788.68799999999999</v>
      </c>
      <c r="H253" s="97">
        <v>0</v>
      </c>
    </row>
    <row r="254" spans="1:8" x14ac:dyDescent="0.3">
      <c r="A254" s="134"/>
      <c r="B254" s="134"/>
      <c r="C254" s="134"/>
      <c r="D254" s="135" t="s">
        <v>817</v>
      </c>
      <c r="E254" s="207"/>
      <c r="F254" s="207"/>
      <c r="G254" s="137">
        <v>788.68799999999999</v>
      </c>
      <c r="H254" s="134"/>
    </row>
    <row r="255" spans="1:8" ht="15" customHeight="1" x14ac:dyDescent="0.25">
      <c r="A255" s="94" t="s">
        <v>324</v>
      </c>
      <c r="B255" s="94" t="s">
        <v>106</v>
      </c>
      <c r="C255" s="94" t="s">
        <v>405</v>
      </c>
      <c r="D255" s="199" t="s">
        <v>406</v>
      </c>
      <c r="E255" s="199"/>
      <c r="F255" s="94" t="s">
        <v>323</v>
      </c>
      <c r="G255" s="97">
        <v>98.585999999999999</v>
      </c>
      <c r="H255" s="97">
        <v>0</v>
      </c>
    </row>
    <row r="256" spans="1:8" x14ac:dyDescent="0.3">
      <c r="A256" s="134"/>
      <c r="B256" s="134"/>
      <c r="C256" s="134"/>
      <c r="D256" s="135" t="s">
        <v>818</v>
      </c>
      <c r="E256" s="207" t="s">
        <v>819</v>
      </c>
      <c r="F256" s="207"/>
      <c r="G256" s="137">
        <v>98.585999999999999</v>
      </c>
      <c r="H256" s="134"/>
    </row>
    <row r="257" spans="1:8" ht="15" customHeight="1" x14ac:dyDescent="0.25">
      <c r="A257" s="94" t="s">
        <v>376</v>
      </c>
      <c r="B257" s="94" t="s">
        <v>108</v>
      </c>
      <c r="C257" s="94" t="s">
        <v>496</v>
      </c>
      <c r="D257" s="199" t="s">
        <v>497</v>
      </c>
      <c r="E257" s="199"/>
      <c r="F257" s="94" t="s">
        <v>155</v>
      </c>
      <c r="G257" s="97">
        <v>108.72499999999999</v>
      </c>
      <c r="H257" s="97">
        <v>0</v>
      </c>
    </row>
    <row r="258" spans="1:8" x14ac:dyDescent="0.3">
      <c r="A258" s="134"/>
      <c r="B258" s="134"/>
      <c r="C258" s="134"/>
      <c r="D258" s="135" t="s">
        <v>820</v>
      </c>
      <c r="E258" s="207" t="s">
        <v>821</v>
      </c>
      <c r="F258" s="207"/>
      <c r="G258" s="137">
        <v>320</v>
      </c>
      <c r="H258" s="134"/>
    </row>
    <row r="259" spans="1:8" ht="13.2" x14ac:dyDescent="0.25">
      <c r="A259" s="94"/>
      <c r="B259" s="94"/>
      <c r="C259" s="94"/>
      <c r="D259" s="135" t="s">
        <v>822</v>
      </c>
      <c r="E259" s="207" t="s">
        <v>812</v>
      </c>
      <c r="F259" s="207"/>
      <c r="G259" s="137">
        <v>-22.5</v>
      </c>
      <c r="H259" s="99"/>
    </row>
    <row r="260" spans="1:8" ht="13.2" x14ac:dyDescent="0.25">
      <c r="A260" s="94"/>
      <c r="B260" s="94"/>
      <c r="C260" s="94"/>
      <c r="D260" s="135" t="s">
        <v>822</v>
      </c>
      <c r="E260" s="207" t="s">
        <v>813</v>
      </c>
      <c r="F260" s="207"/>
      <c r="G260" s="137">
        <v>-22.5</v>
      </c>
      <c r="H260" s="99"/>
    </row>
    <row r="261" spans="1:8" ht="13.2" x14ac:dyDescent="0.25">
      <c r="A261" s="94"/>
      <c r="B261" s="94"/>
      <c r="C261" s="94"/>
      <c r="D261" s="135" t="s">
        <v>823</v>
      </c>
      <c r="E261" s="207" t="s">
        <v>803</v>
      </c>
      <c r="F261" s="207"/>
      <c r="G261" s="137">
        <v>-166.27500000000001</v>
      </c>
      <c r="H261" s="99"/>
    </row>
    <row r="262" spans="1:8" ht="15" customHeight="1" x14ac:dyDescent="0.25">
      <c r="A262" s="94" t="s">
        <v>388</v>
      </c>
      <c r="B262" s="94" t="s">
        <v>108</v>
      </c>
      <c r="C262" s="94" t="s">
        <v>500</v>
      </c>
      <c r="D262" s="199" t="s">
        <v>501</v>
      </c>
      <c r="E262" s="199"/>
      <c r="F262" s="94" t="s">
        <v>212</v>
      </c>
      <c r="G262" s="97">
        <v>2</v>
      </c>
      <c r="H262" s="97">
        <v>0</v>
      </c>
    </row>
    <row r="263" spans="1:8" x14ac:dyDescent="0.3">
      <c r="A263" s="134"/>
      <c r="B263" s="134"/>
      <c r="C263" s="134"/>
      <c r="D263" s="135" t="s">
        <v>162</v>
      </c>
      <c r="E263" s="207"/>
      <c r="F263" s="207"/>
      <c r="G263" s="137">
        <v>2</v>
      </c>
      <c r="H263" s="134"/>
    </row>
    <row r="264" spans="1:8" ht="15" customHeight="1" x14ac:dyDescent="0.25">
      <c r="A264" s="94" t="s">
        <v>502</v>
      </c>
      <c r="B264" s="94" t="s">
        <v>108</v>
      </c>
      <c r="C264" s="94" t="s">
        <v>503</v>
      </c>
      <c r="D264" s="199" t="s">
        <v>504</v>
      </c>
      <c r="E264" s="199"/>
      <c r="F264" s="94" t="s">
        <v>212</v>
      </c>
      <c r="G264" s="97">
        <v>2</v>
      </c>
      <c r="H264" s="97">
        <v>0</v>
      </c>
    </row>
    <row r="265" spans="1:8" x14ac:dyDescent="0.3">
      <c r="A265" s="134"/>
      <c r="B265" s="134"/>
      <c r="C265" s="134"/>
      <c r="D265" s="135" t="s">
        <v>162</v>
      </c>
      <c r="E265" s="207"/>
      <c r="F265" s="207"/>
      <c r="G265" s="137">
        <v>2</v>
      </c>
      <c r="H265" s="134"/>
    </row>
    <row r="266" spans="1:8" ht="15" customHeight="1" x14ac:dyDescent="0.25">
      <c r="A266" s="94" t="s">
        <v>505</v>
      </c>
      <c r="B266" s="94" t="s">
        <v>108</v>
      </c>
      <c r="C266" s="94" t="s">
        <v>506</v>
      </c>
      <c r="D266" s="199" t="s">
        <v>507</v>
      </c>
      <c r="E266" s="199"/>
      <c r="F266" s="94" t="s">
        <v>366</v>
      </c>
      <c r="G266" s="97">
        <v>1.5</v>
      </c>
      <c r="H266" s="97">
        <v>0</v>
      </c>
    </row>
    <row r="267" spans="1:8" x14ac:dyDescent="0.3">
      <c r="A267" s="134"/>
      <c r="B267" s="134"/>
      <c r="C267" s="134"/>
      <c r="D267" s="135" t="s">
        <v>824</v>
      </c>
      <c r="E267" s="207"/>
      <c r="F267" s="207"/>
      <c r="G267" s="137">
        <v>1.5</v>
      </c>
      <c r="H267" s="134"/>
    </row>
    <row r="268" spans="1:8" ht="15" customHeight="1" x14ac:dyDescent="0.25">
      <c r="A268" s="94" t="s">
        <v>509</v>
      </c>
      <c r="B268" s="94" t="s">
        <v>108</v>
      </c>
      <c r="C268" s="94" t="s">
        <v>510</v>
      </c>
      <c r="D268" s="199" t="s">
        <v>511</v>
      </c>
      <c r="E268" s="199"/>
      <c r="F268" s="94" t="s">
        <v>366</v>
      </c>
      <c r="G268" s="97">
        <v>73.59</v>
      </c>
      <c r="H268" s="97">
        <v>0</v>
      </c>
    </row>
    <row r="269" spans="1:8" x14ac:dyDescent="0.3">
      <c r="A269" s="134"/>
      <c r="B269" s="134"/>
      <c r="C269" s="134"/>
      <c r="D269" s="135" t="s">
        <v>825</v>
      </c>
      <c r="E269" s="207"/>
      <c r="F269" s="207"/>
      <c r="G269" s="137">
        <v>73.59</v>
      </c>
      <c r="H269" s="134"/>
    </row>
    <row r="270" spans="1:8" ht="15" customHeight="1" x14ac:dyDescent="0.25">
      <c r="A270" s="94" t="s">
        <v>513</v>
      </c>
      <c r="B270" s="94" t="s">
        <v>108</v>
      </c>
      <c r="C270" s="94" t="s">
        <v>476</v>
      </c>
      <c r="D270" s="199" t="s">
        <v>477</v>
      </c>
      <c r="E270" s="199"/>
      <c r="F270" s="94" t="s">
        <v>366</v>
      </c>
      <c r="G270" s="97">
        <v>73.59</v>
      </c>
      <c r="H270" s="97">
        <v>0</v>
      </c>
    </row>
    <row r="271" spans="1:8" x14ac:dyDescent="0.3">
      <c r="A271" s="134"/>
      <c r="B271" s="134"/>
      <c r="C271" s="134"/>
      <c r="D271" s="135" t="s">
        <v>826</v>
      </c>
      <c r="E271" s="207" t="s">
        <v>827</v>
      </c>
      <c r="F271" s="207"/>
      <c r="G271" s="137">
        <v>73.59</v>
      </c>
      <c r="H271" s="134"/>
    </row>
    <row r="272" spans="1:8" ht="15" customHeight="1" x14ac:dyDescent="0.25">
      <c r="A272" s="94" t="s">
        <v>514</v>
      </c>
      <c r="B272" s="94" t="s">
        <v>108</v>
      </c>
      <c r="C272" s="94" t="s">
        <v>480</v>
      </c>
      <c r="D272" s="199" t="s">
        <v>481</v>
      </c>
      <c r="E272" s="199"/>
      <c r="F272" s="94" t="s">
        <v>366</v>
      </c>
      <c r="G272" s="97">
        <v>588.72</v>
      </c>
      <c r="H272" s="97">
        <v>0</v>
      </c>
    </row>
    <row r="273" spans="1:8" x14ac:dyDescent="0.3">
      <c r="A273" s="134"/>
      <c r="B273" s="134"/>
      <c r="C273" s="134"/>
      <c r="D273" s="135" t="s">
        <v>828</v>
      </c>
      <c r="E273" s="207"/>
      <c r="F273" s="207"/>
      <c r="G273" s="137">
        <v>588.72</v>
      </c>
      <c r="H273" s="134"/>
    </row>
    <row r="274" spans="1:8" ht="15" customHeight="1" x14ac:dyDescent="0.25">
      <c r="A274" s="94" t="s">
        <v>515</v>
      </c>
      <c r="B274" s="94" t="s">
        <v>108</v>
      </c>
      <c r="C274" s="94" t="s">
        <v>476</v>
      </c>
      <c r="D274" s="199" t="s">
        <v>477</v>
      </c>
      <c r="E274" s="199"/>
      <c r="F274" s="94" t="s">
        <v>366</v>
      </c>
      <c r="G274" s="97">
        <v>270.77800000000002</v>
      </c>
      <c r="H274" s="97">
        <v>0</v>
      </c>
    </row>
    <row r="275" spans="1:8" x14ac:dyDescent="0.3">
      <c r="A275" s="134"/>
      <c r="B275" s="134"/>
      <c r="C275" s="134"/>
      <c r="D275" s="135" t="s">
        <v>829</v>
      </c>
      <c r="E275" s="207" t="s">
        <v>830</v>
      </c>
      <c r="F275" s="207"/>
      <c r="G275" s="137">
        <v>270.77800000000002</v>
      </c>
      <c r="H275" s="134"/>
    </row>
    <row r="276" spans="1:8" ht="15" customHeight="1" x14ac:dyDescent="0.25">
      <c r="A276" s="94" t="s">
        <v>516</v>
      </c>
      <c r="B276" s="94" t="s">
        <v>108</v>
      </c>
      <c r="C276" s="94" t="s">
        <v>480</v>
      </c>
      <c r="D276" s="199" t="s">
        <v>481</v>
      </c>
      <c r="E276" s="199"/>
      <c r="F276" s="94" t="s">
        <v>366</v>
      </c>
      <c r="G276" s="97">
        <v>2707.78</v>
      </c>
      <c r="H276" s="97">
        <v>0</v>
      </c>
    </row>
    <row r="277" spans="1:8" x14ac:dyDescent="0.3">
      <c r="A277" s="134"/>
      <c r="B277" s="134"/>
      <c r="C277" s="134"/>
      <c r="D277" s="135" t="s">
        <v>831</v>
      </c>
      <c r="E277" s="207"/>
      <c r="F277" s="207"/>
      <c r="G277" s="137">
        <v>2707.78</v>
      </c>
      <c r="H277" s="134"/>
    </row>
    <row r="278" spans="1:8" ht="15" customHeight="1" x14ac:dyDescent="0.25">
      <c r="A278" s="94" t="s">
        <v>517</v>
      </c>
      <c r="B278" s="94" t="s">
        <v>108</v>
      </c>
      <c r="C278" s="94" t="s">
        <v>476</v>
      </c>
      <c r="D278" s="199" t="s">
        <v>477</v>
      </c>
      <c r="E278" s="199"/>
      <c r="F278" s="94" t="s">
        <v>366</v>
      </c>
      <c r="G278" s="97">
        <v>24.8</v>
      </c>
      <c r="H278" s="97">
        <v>0</v>
      </c>
    </row>
    <row r="279" spans="1:8" x14ac:dyDescent="0.3">
      <c r="A279" s="134"/>
      <c r="B279" s="134"/>
      <c r="C279" s="134"/>
      <c r="D279" s="135" t="s">
        <v>832</v>
      </c>
      <c r="E279" s="207" t="s">
        <v>833</v>
      </c>
      <c r="F279" s="207"/>
      <c r="G279" s="137">
        <v>24.8</v>
      </c>
      <c r="H279" s="134"/>
    </row>
    <row r="280" spans="1:8" ht="15" customHeight="1" x14ac:dyDescent="0.25">
      <c r="A280" s="94" t="s">
        <v>518</v>
      </c>
      <c r="B280" s="94" t="s">
        <v>108</v>
      </c>
      <c r="C280" s="94" t="s">
        <v>480</v>
      </c>
      <c r="D280" s="199" t="s">
        <v>481</v>
      </c>
      <c r="E280" s="199"/>
      <c r="F280" s="94" t="s">
        <v>366</v>
      </c>
      <c r="G280" s="97">
        <v>248</v>
      </c>
      <c r="H280" s="97">
        <v>0</v>
      </c>
    </row>
    <row r="281" spans="1:8" x14ac:dyDescent="0.3">
      <c r="A281" s="134"/>
      <c r="B281" s="134"/>
      <c r="C281" s="134"/>
      <c r="D281" s="135" t="s">
        <v>834</v>
      </c>
      <c r="E281" s="207"/>
      <c r="F281" s="207"/>
      <c r="G281" s="137">
        <v>248</v>
      </c>
      <c r="H281" s="134"/>
    </row>
    <row r="282" spans="1:8" ht="15" customHeight="1" x14ac:dyDescent="0.25">
      <c r="A282" s="94" t="s">
        <v>519</v>
      </c>
      <c r="B282" s="94" t="s">
        <v>108</v>
      </c>
      <c r="C282" s="94" t="s">
        <v>484</v>
      </c>
      <c r="D282" s="199" t="s">
        <v>520</v>
      </c>
      <c r="E282" s="199"/>
      <c r="F282" s="94" t="s">
        <v>366</v>
      </c>
      <c r="G282" s="97">
        <v>24.8</v>
      </c>
      <c r="H282" s="97">
        <v>0</v>
      </c>
    </row>
    <row r="283" spans="1:8" x14ac:dyDescent="0.3">
      <c r="A283" s="134"/>
      <c r="B283" s="134"/>
      <c r="C283" s="134"/>
      <c r="D283" s="135" t="s">
        <v>835</v>
      </c>
      <c r="E283" s="207"/>
      <c r="F283" s="207"/>
      <c r="G283" s="137">
        <v>24.8</v>
      </c>
      <c r="H283" s="134"/>
    </row>
    <row r="284" spans="1:8" ht="15" customHeight="1" x14ac:dyDescent="0.25">
      <c r="A284" s="105" t="s">
        <v>521</v>
      </c>
      <c r="B284" s="105" t="s">
        <v>108</v>
      </c>
      <c r="C284" s="105" t="s">
        <v>487</v>
      </c>
      <c r="D284" s="201" t="s">
        <v>522</v>
      </c>
      <c r="E284" s="201"/>
      <c r="F284" s="105" t="s">
        <v>323</v>
      </c>
      <c r="G284" s="108">
        <v>39.68</v>
      </c>
      <c r="H284" s="108">
        <v>0</v>
      </c>
    </row>
    <row r="285" spans="1:8" x14ac:dyDescent="0.3">
      <c r="A285" s="134"/>
      <c r="B285" s="134"/>
      <c r="C285" s="134"/>
      <c r="D285" s="135" t="s">
        <v>836</v>
      </c>
      <c r="E285" s="207"/>
      <c r="F285" s="207"/>
      <c r="G285" s="138">
        <v>39.68</v>
      </c>
      <c r="H285" s="134"/>
    </row>
    <row r="286" spans="1:8" ht="15" customHeight="1" x14ac:dyDescent="0.25">
      <c r="A286" s="94" t="s">
        <v>524</v>
      </c>
      <c r="B286" s="94" t="s">
        <v>108</v>
      </c>
      <c r="C286" s="94" t="s">
        <v>525</v>
      </c>
      <c r="D286" s="199" t="s">
        <v>526</v>
      </c>
      <c r="E286" s="199"/>
      <c r="F286" s="94" t="s">
        <v>155</v>
      </c>
      <c r="G286" s="97">
        <v>376.94400000000002</v>
      </c>
      <c r="H286" s="97">
        <v>0</v>
      </c>
    </row>
    <row r="287" spans="1:8" x14ac:dyDescent="0.3">
      <c r="A287" s="134"/>
      <c r="B287" s="134"/>
      <c r="C287" s="134"/>
      <c r="D287" s="135" t="s">
        <v>802</v>
      </c>
      <c r="E287" s="207" t="s">
        <v>837</v>
      </c>
      <c r="F287" s="207"/>
      <c r="G287" s="137">
        <v>166.27500000000001</v>
      </c>
      <c r="H287" s="134"/>
    </row>
    <row r="288" spans="1:8" ht="13.2" x14ac:dyDescent="0.25">
      <c r="A288" s="94"/>
      <c r="B288" s="94"/>
      <c r="C288" s="94"/>
      <c r="D288" s="135" t="s">
        <v>838</v>
      </c>
      <c r="E288" s="207" t="s">
        <v>839</v>
      </c>
      <c r="F288" s="207"/>
      <c r="G288" s="137">
        <v>87.165999999999997</v>
      </c>
      <c r="H288" s="99"/>
    </row>
    <row r="289" spans="1:8" ht="13.2" x14ac:dyDescent="0.25">
      <c r="A289" s="94"/>
      <c r="B289" s="94"/>
      <c r="C289" s="94"/>
      <c r="D289" s="135" t="s">
        <v>840</v>
      </c>
      <c r="E289" s="207" t="s">
        <v>841</v>
      </c>
      <c r="F289" s="207"/>
      <c r="G289" s="137">
        <v>36.506</v>
      </c>
      <c r="H289" s="99"/>
    </row>
    <row r="290" spans="1:8" ht="13.2" x14ac:dyDescent="0.25">
      <c r="A290" s="94"/>
      <c r="B290" s="94"/>
      <c r="C290" s="94"/>
      <c r="D290" s="135" t="s">
        <v>842</v>
      </c>
      <c r="E290" s="207" t="s">
        <v>843</v>
      </c>
      <c r="F290" s="207"/>
      <c r="G290" s="137">
        <v>31.58</v>
      </c>
      <c r="H290" s="99"/>
    </row>
    <row r="291" spans="1:8" ht="13.2" x14ac:dyDescent="0.25">
      <c r="A291" s="94"/>
      <c r="B291" s="94"/>
      <c r="C291" s="94"/>
      <c r="D291" s="135" t="s">
        <v>844</v>
      </c>
      <c r="E291" s="207" t="s">
        <v>845</v>
      </c>
      <c r="F291" s="207"/>
      <c r="G291" s="137">
        <v>55.417000000000002</v>
      </c>
      <c r="H291" s="99"/>
    </row>
    <row r="292" spans="1:8" ht="15" customHeight="1" x14ac:dyDescent="0.25">
      <c r="A292" s="105" t="s">
        <v>528</v>
      </c>
      <c r="B292" s="105" t="s">
        <v>108</v>
      </c>
      <c r="C292" s="105" t="s">
        <v>529</v>
      </c>
      <c r="D292" s="201" t="s">
        <v>530</v>
      </c>
      <c r="E292" s="201"/>
      <c r="F292" s="105" t="s">
        <v>323</v>
      </c>
      <c r="G292" s="108">
        <v>265.36799999999999</v>
      </c>
      <c r="H292" s="108">
        <v>0</v>
      </c>
    </row>
    <row r="293" spans="1:8" x14ac:dyDescent="0.3">
      <c r="A293" s="134"/>
      <c r="B293" s="134"/>
      <c r="C293" s="134"/>
      <c r="D293" s="135" t="s">
        <v>846</v>
      </c>
      <c r="E293" s="207"/>
      <c r="F293" s="207"/>
      <c r="G293" s="138">
        <v>241.244</v>
      </c>
      <c r="H293" s="134"/>
    </row>
    <row r="294" spans="1:8" ht="13.2" x14ac:dyDescent="0.25">
      <c r="A294" s="105"/>
      <c r="B294" s="105"/>
      <c r="C294" s="105"/>
      <c r="D294" s="135" t="s">
        <v>847</v>
      </c>
      <c r="E294" s="207"/>
      <c r="F294" s="207"/>
      <c r="G294" s="138">
        <v>24.123999999999999</v>
      </c>
      <c r="H294" s="110"/>
    </row>
    <row r="295" spans="1:8" ht="15" customHeight="1" x14ac:dyDescent="0.25">
      <c r="A295" s="94" t="s">
        <v>531</v>
      </c>
      <c r="B295" s="94" t="s">
        <v>108</v>
      </c>
      <c r="C295" s="94" t="s">
        <v>532</v>
      </c>
      <c r="D295" s="199" t="s">
        <v>533</v>
      </c>
      <c r="E295" s="199"/>
      <c r="F295" s="94" t="s">
        <v>155</v>
      </c>
      <c r="G295" s="97">
        <v>376.94400000000002</v>
      </c>
      <c r="H295" s="97">
        <v>0</v>
      </c>
    </row>
    <row r="296" spans="1:8" x14ac:dyDescent="0.3">
      <c r="A296" s="134"/>
      <c r="B296" s="134"/>
      <c r="C296" s="134"/>
      <c r="D296" s="135" t="s">
        <v>848</v>
      </c>
      <c r="E296" s="207"/>
      <c r="F296" s="207"/>
      <c r="G296" s="137">
        <v>376.94400000000002</v>
      </c>
      <c r="H296" s="134"/>
    </row>
    <row r="297" spans="1:8" ht="15" customHeight="1" x14ac:dyDescent="0.25">
      <c r="A297" s="94" t="s">
        <v>534</v>
      </c>
      <c r="B297" s="94" t="s">
        <v>108</v>
      </c>
      <c r="C297" s="94" t="s">
        <v>535</v>
      </c>
      <c r="D297" s="199" t="s">
        <v>536</v>
      </c>
      <c r="E297" s="199"/>
      <c r="F297" s="94" t="s">
        <v>212</v>
      </c>
      <c r="G297" s="97">
        <v>1</v>
      </c>
      <c r="H297" s="97">
        <v>0</v>
      </c>
    </row>
    <row r="298" spans="1:8" x14ac:dyDescent="0.3">
      <c r="A298" s="134"/>
      <c r="B298" s="134"/>
      <c r="C298" s="134"/>
      <c r="D298" s="135" t="s">
        <v>152</v>
      </c>
      <c r="E298" s="207"/>
      <c r="F298" s="207"/>
      <c r="G298" s="137">
        <v>1</v>
      </c>
      <c r="H298" s="134"/>
    </row>
    <row r="299" spans="1:8" ht="15" customHeight="1" x14ac:dyDescent="0.25">
      <c r="A299" s="94" t="s">
        <v>538</v>
      </c>
      <c r="B299" s="94" t="s">
        <v>108</v>
      </c>
      <c r="C299" s="94" t="s">
        <v>539</v>
      </c>
      <c r="D299" s="199" t="s">
        <v>540</v>
      </c>
      <c r="E299" s="199"/>
      <c r="F299" s="94" t="s">
        <v>366</v>
      </c>
      <c r="G299" s="97">
        <v>12.04</v>
      </c>
      <c r="H299" s="97">
        <v>0</v>
      </c>
    </row>
    <row r="300" spans="1:8" x14ac:dyDescent="0.3">
      <c r="A300" s="134"/>
      <c r="B300" s="134"/>
      <c r="C300" s="134"/>
      <c r="D300" s="135" t="s">
        <v>849</v>
      </c>
      <c r="E300" s="207" t="s">
        <v>850</v>
      </c>
      <c r="F300" s="207"/>
      <c r="G300" s="137">
        <v>12.04</v>
      </c>
      <c r="H300" s="134"/>
    </row>
    <row r="301" spans="1:8" ht="15" customHeight="1" x14ac:dyDescent="0.25">
      <c r="A301" s="94" t="s">
        <v>542</v>
      </c>
      <c r="B301" s="94" t="s">
        <v>108</v>
      </c>
      <c r="C301" s="94" t="s">
        <v>543</v>
      </c>
      <c r="D301" s="199" t="s">
        <v>544</v>
      </c>
      <c r="E301" s="199"/>
      <c r="F301" s="94" t="s">
        <v>366</v>
      </c>
      <c r="G301" s="97">
        <v>23.64</v>
      </c>
      <c r="H301" s="97">
        <v>0</v>
      </c>
    </row>
    <row r="302" spans="1:8" x14ac:dyDescent="0.3">
      <c r="A302" s="134"/>
      <c r="B302" s="134"/>
      <c r="C302" s="134"/>
      <c r="D302" s="135" t="s">
        <v>851</v>
      </c>
      <c r="E302" s="207"/>
      <c r="F302" s="207"/>
      <c r="G302" s="137">
        <v>23.64</v>
      </c>
      <c r="H302" s="134"/>
    </row>
    <row r="303" spans="1:8" ht="15" customHeight="1" x14ac:dyDescent="0.25">
      <c r="A303" s="94" t="s">
        <v>545</v>
      </c>
      <c r="B303" s="94" t="s">
        <v>108</v>
      </c>
      <c r="C303" s="94" t="s">
        <v>546</v>
      </c>
      <c r="D303" s="199" t="s">
        <v>547</v>
      </c>
      <c r="E303" s="199"/>
      <c r="F303" s="94" t="s">
        <v>366</v>
      </c>
      <c r="G303" s="97">
        <v>46.371000000000002</v>
      </c>
      <c r="H303" s="97">
        <v>0</v>
      </c>
    </row>
    <row r="304" spans="1:8" x14ac:dyDescent="0.3">
      <c r="A304" s="134"/>
      <c r="B304" s="134"/>
      <c r="C304" s="134"/>
      <c r="D304" s="135" t="s">
        <v>852</v>
      </c>
      <c r="E304" s="207"/>
      <c r="F304" s="207"/>
      <c r="G304" s="137">
        <v>46.371000000000002</v>
      </c>
      <c r="H304" s="134"/>
    </row>
    <row r="305" spans="1:8" ht="15" customHeight="1" x14ac:dyDescent="0.25">
      <c r="A305" s="94" t="s">
        <v>550</v>
      </c>
      <c r="B305" s="94" t="s">
        <v>108</v>
      </c>
      <c r="C305" s="94" t="s">
        <v>551</v>
      </c>
      <c r="D305" s="199" t="s">
        <v>552</v>
      </c>
      <c r="E305" s="199"/>
      <c r="F305" s="94" t="s">
        <v>366</v>
      </c>
      <c r="G305" s="97">
        <v>1.5</v>
      </c>
      <c r="H305" s="97">
        <v>0</v>
      </c>
    </row>
    <row r="306" spans="1:8" x14ac:dyDescent="0.3">
      <c r="A306" s="134"/>
      <c r="B306" s="134"/>
      <c r="C306" s="134"/>
      <c r="D306" s="135" t="s">
        <v>824</v>
      </c>
      <c r="E306" s="207"/>
      <c r="F306" s="207"/>
      <c r="G306" s="137">
        <v>1.5</v>
      </c>
      <c r="H306" s="134"/>
    </row>
    <row r="307" spans="1:8" ht="15" customHeight="1" x14ac:dyDescent="0.25">
      <c r="A307" s="94" t="s">
        <v>554</v>
      </c>
      <c r="B307" s="94" t="s">
        <v>108</v>
      </c>
      <c r="C307" s="94" t="s">
        <v>555</v>
      </c>
      <c r="D307" s="199" t="s">
        <v>556</v>
      </c>
      <c r="E307" s="199"/>
      <c r="F307" s="94" t="s">
        <v>366</v>
      </c>
      <c r="G307" s="97">
        <v>12</v>
      </c>
      <c r="H307" s="97">
        <v>0</v>
      </c>
    </row>
    <row r="308" spans="1:8" x14ac:dyDescent="0.3">
      <c r="A308" s="134"/>
      <c r="B308" s="134"/>
      <c r="C308" s="134"/>
      <c r="D308" s="135" t="s">
        <v>853</v>
      </c>
      <c r="E308" s="207"/>
      <c r="F308" s="207"/>
      <c r="G308" s="137">
        <v>12</v>
      </c>
      <c r="H308" s="134"/>
    </row>
    <row r="309" spans="1:8" ht="15" customHeight="1" x14ac:dyDescent="0.25">
      <c r="A309" s="94" t="s">
        <v>557</v>
      </c>
      <c r="B309" s="94" t="s">
        <v>108</v>
      </c>
      <c r="C309" s="94" t="s">
        <v>453</v>
      </c>
      <c r="D309" s="199" t="s">
        <v>454</v>
      </c>
      <c r="E309" s="199"/>
      <c r="F309" s="94" t="s">
        <v>323</v>
      </c>
      <c r="G309" s="97">
        <v>167.53100000000001</v>
      </c>
      <c r="H309" s="97">
        <v>0</v>
      </c>
    </row>
    <row r="310" spans="1:8" x14ac:dyDescent="0.3">
      <c r="A310" s="134"/>
      <c r="B310" s="134"/>
      <c r="C310" s="134"/>
      <c r="D310" s="135" t="s">
        <v>854</v>
      </c>
      <c r="E310" s="207"/>
      <c r="F310" s="207"/>
      <c r="G310" s="137">
        <v>167.53100000000001</v>
      </c>
      <c r="H310" s="134"/>
    </row>
    <row r="311" spans="1:8" ht="15" customHeight="1" x14ac:dyDescent="0.25">
      <c r="A311" s="94" t="s">
        <v>558</v>
      </c>
      <c r="B311" s="94" t="s">
        <v>108</v>
      </c>
      <c r="C311" s="94" t="s">
        <v>456</v>
      </c>
      <c r="D311" s="199" t="s">
        <v>457</v>
      </c>
      <c r="E311" s="199"/>
      <c r="F311" s="94" t="s">
        <v>323</v>
      </c>
      <c r="G311" s="97">
        <v>1340.248</v>
      </c>
      <c r="H311" s="97">
        <v>0</v>
      </c>
    </row>
    <row r="312" spans="1:8" x14ac:dyDescent="0.3">
      <c r="A312" s="134"/>
      <c r="B312" s="134"/>
      <c r="C312" s="134"/>
      <c r="D312" s="135" t="s">
        <v>855</v>
      </c>
      <c r="E312" s="207"/>
      <c r="F312" s="207"/>
      <c r="G312" s="137">
        <v>1340.248</v>
      </c>
      <c r="H312" s="134"/>
    </row>
    <row r="313" spans="1:8" ht="15" customHeight="1" x14ac:dyDescent="0.25">
      <c r="A313" s="94" t="s">
        <v>559</v>
      </c>
      <c r="B313" s="94" t="s">
        <v>108</v>
      </c>
      <c r="C313" s="94" t="s">
        <v>401</v>
      </c>
      <c r="D313" s="199" t="s">
        <v>560</v>
      </c>
      <c r="E313" s="199"/>
      <c r="F313" s="94" t="s">
        <v>323</v>
      </c>
      <c r="G313" s="97">
        <v>167.321</v>
      </c>
      <c r="H313" s="97">
        <v>0</v>
      </c>
    </row>
    <row r="314" spans="1:8" x14ac:dyDescent="0.3">
      <c r="A314" s="134"/>
      <c r="B314" s="134"/>
      <c r="C314" s="134"/>
      <c r="D314" s="135" t="s">
        <v>856</v>
      </c>
      <c r="E314" s="207"/>
      <c r="F314" s="207"/>
      <c r="G314" s="137">
        <v>167.321</v>
      </c>
      <c r="H314" s="134"/>
    </row>
    <row r="315" spans="1:8" ht="15" customHeight="1" x14ac:dyDescent="0.25">
      <c r="A315" s="94" t="s">
        <v>562</v>
      </c>
      <c r="B315" s="94" t="s">
        <v>110</v>
      </c>
      <c r="C315" s="94" t="s">
        <v>563</v>
      </c>
      <c r="D315" s="199" t="s">
        <v>564</v>
      </c>
      <c r="E315" s="199"/>
      <c r="F315" s="94" t="s">
        <v>287</v>
      </c>
      <c r="G315" s="97">
        <v>16</v>
      </c>
      <c r="H315" s="97">
        <v>0</v>
      </c>
    </row>
    <row r="316" spans="1:8" x14ac:dyDescent="0.3">
      <c r="A316" s="134"/>
      <c r="B316" s="134"/>
      <c r="C316" s="134"/>
      <c r="D316" s="135" t="s">
        <v>223</v>
      </c>
      <c r="E316" s="207"/>
      <c r="F316" s="207"/>
      <c r="G316" s="137">
        <v>16</v>
      </c>
      <c r="H316" s="134"/>
    </row>
    <row r="317" spans="1:8" ht="24" customHeight="1" x14ac:dyDescent="0.25">
      <c r="A317" s="94" t="s">
        <v>568</v>
      </c>
      <c r="B317" s="94" t="s">
        <v>110</v>
      </c>
      <c r="C317" s="94" t="s">
        <v>563</v>
      </c>
      <c r="D317" s="199" t="s">
        <v>569</v>
      </c>
      <c r="E317" s="199"/>
      <c r="F317" s="94" t="s">
        <v>287</v>
      </c>
      <c r="G317" s="97">
        <v>35</v>
      </c>
      <c r="H317" s="97">
        <v>0</v>
      </c>
    </row>
    <row r="318" spans="1:8" x14ac:dyDescent="0.3">
      <c r="A318" s="134"/>
      <c r="B318" s="134"/>
      <c r="C318" s="134"/>
      <c r="D318" s="135" t="s">
        <v>301</v>
      </c>
      <c r="E318" s="207"/>
      <c r="F318" s="207"/>
      <c r="G318" s="137">
        <v>35</v>
      </c>
      <c r="H318" s="134"/>
    </row>
    <row r="319" spans="1:8" ht="15" customHeight="1" x14ac:dyDescent="0.25">
      <c r="A319" s="94" t="s">
        <v>570</v>
      </c>
      <c r="B319" s="94" t="s">
        <v>110</v>
      </c>
      <c r="C319" s="94" t="s">
        <v>563</v>
      </c>
      <c r="D319" s="199" t="s">
        <v>571</v>
      </c>
      <c r="E319" s="199"/>
      <c r="F319" s="94" t="s">
        <v>287</v>
      </c>
      <c r="G319" s="97">
        <v>30</v>
      </c>
      <c r="H319" s="97">
        <v>0</v>
      </c>
    </row>
    <row r="320" spans="1:8" x14ac:dyDescent="0.3">
      <c r="A320" s="134"/>
      <c r="B320" s="134"/>
      <c r="C320" s="134"/>
      <c r="D320" s="135" t="s">
        <v>290</v>
      </c>
      <c r="E320" s="207"/>
      <c r="F320" s="207"/>
      <c r="G320" s="137">
        <v>30</v>
      </c>
      <c r="H320" s="134"/>
    </row>
    <row r="321" spans="1:8" ht="15" customHeight="1" x14ac:dyDescent="0.25">
      <c r="A321" s="94" t="s">
        <v>572</v>
      </c>
      <c r="B321" s="94" t="s">
        <v>110</v>
      </c>
      <c r="C321" s="94" t="s">
        <v>563</v>
      </c>
      <c r="D321" s="199" t="s">
        <v>573</v>
      </c>
      <c r="E321" s="199"/>
      <c r="F321" s="94" t="s">
        <v>287</v>
      </c>
      <c r="G321" s="97">
        <v>40</v>
      </c>
      <c r="H321" s="97">
        <v>0</v>
      </c>
    </row>
    <row r="322" spans="1:8" x14ac:dyDescent="0.3">
      <c r="A322" s="134"/>
      <c r="B322" s="134"/>
      <c r="C322" s="134"/>
      <c r="D322" s="135" t="s">
        <v>317</v>
      </c>
      <c r="E322" s="207"/>
      <c r="F322" s="207"/>
      <c r="G322" s="137">
        <v>40</v>
      </c>
      <c r="H322" s="134"/>
    </row>
    <row r="323" spans="1:8" ht="24" customHeight="1" x14ac:dyDescent="0.25">
      <c r="A323" s="94" t="s">
        <v>574</v>
      </c>
      <c r="B323" s="94" t="s">
        <v>110</v>
      </c>
      <c r="C323" s="94" t="s">
        <v>575</v>
      </c>
      <c r="D323" s="199" t="s">
        <v>576</v>
      </c>
      <c r="E323" s="199"/>
      <c r="F323" s="94" t="s">
        <v>78</v>
      </c>
      <c r="G323" s="97"/>
      <c r="H323" s="97">
        <v>0</v>
      </c>
    </row>
    <row r="324" spans="1:8" x14ac:dyDescent="0.3">
      <c r="A324" s="134"/>
      <c r="B324" s="134"/>
      <c r="C324" s="134"/>
      <c r="D324" s="135"/>
      <c r="E324" s="207"/>
      <c r="F324" s="207"/>
      <c r="G324" s="137"/>
      <c r="H324" s="134"/>
    </row>
    <row r="325" spans="1:8" ht="15" customHeight="1" x14ac:dyDescent="0.25">
      <c r="A325" s="94" t="s">
        <v>577</v>
      </c>
      <c r="B325" s="94" t="s">
        <v>110</v>
      </c>
      <c r="C325" s="94" t="s">
        <v>578</v>
      </c>
      <c r="D325" s="199" t="s">
        <v>579</v>
      </c>
      <c r="E325" s="199"/>
      <c r="F325" s="94" t="s">
        <v>78</v>
      </c>
      <c r="G325" s="97"/>
      <c r="H325" s="97">
        <v>0</v>
      </c>
    </row>
    <row r="326" spans="1:8" x14ac:dyDescent="0.3">
      <c r="A326" s="134"/>
      <c r="B326" s="134"/>
      <c r="C326" s="134"/>
      <c r="D326" s="135"/>
      <c r="E326" s="207"/>
      <c r="F326" s="207"/>
      <c r="G326" s="137"/>
      <c r="H326" s="134"/>
    </row>
    <row r="327" spans="1:8" ht="15" customHeight="1" x14ac:dyDescent="0.25">
      <c r="A327" s="94" t="s">
        <v>580</v>
      </c>
      <c r="B327" s="94" t="s">
        <v>112</v>
      </c>
      <c r="C327" s="94" t="s">
        <v>581</v>
      </c>
      <c r="D327" s="199" t="s">
        <v>582</v>
      </c>
      <c r="E327" s="199"/>
      <c r="F327" s="94" t="s">
        <v>155</v>
      </c>
      <c r="G327" s="97">
        <v>460</v>
      </c>
      <c r="H327" s="97">
        <v>0</v>
      </c>
    </row>
    <row r="328" spans="1:8" x14ac:dyDescent="0.3">
      <c r="A328" s="134"/>
      <c r="B328" s="134"/>
      <c r="C328" s="134"/>
      <c r="D328" s="135" t="s">
        <v>857</v>
      </c>
      <c r="E328" s="207"/>
      <c r="F328" s="207"/>
      <c r="G328" s="137">
        <v>460</v>
      </c>
      <c r="H328" s="134"/>
    </row>
    <row r="329" spans="1:8" ht="15" customHeight="1" x14ac:dyDescent="0.25">
      <c r="A329" s="94" t="s">
        <v>586</v>
      </c>
      <c r="B329" s="94" t="s">
        <v>112</v>
      </c>
      <c r="C329" s="94" t="s">
        <v>587</v>
      </c>
      <c r="D329" s="199" t="s">
        <v>588</v>
      </c>
      <c r="E329" s="199"/>
      <c r="F329" s="94" t="s">
        <v>212</v>
      </c>
      <c r="G329" s="97">
        <v>3</v>
      </c>
      <c r="H329" s="97">
        <v>0</v>
      </c>
    </row>
    <row r="330" spans="1:8" x14ac:dyDescent="0.3">
      <c r="A330" s="134"/>
      <c r="B330" s="134"/>
      <c r="C330" s="134"/>
      <c r="D330" s="135" t="s">
        <v>167</v>
      </c>
      <c r="E330" s="207"/>
      <c r="F330" s="207"/>
      <c r="G330" s="137">
        <v>3</v>
      </c>
      <c r="H330" s="134"/>
    </row>
    <row r="331" spans="1:8" ht="15" customHeight="1" x14ac:dyDescent="0.25">
      <c r="A331" s="94" t="s">
        <v>591</v>
      </c>
      <c r="B331" s="94" t="s">
        <v>112</v>
      </c>
      <c r="C331" s="94" t="s">
        <v>592</v>
      </c>
      <c r="D331" s="199" t="s">
        <v>593</v>
      </c>
      <c r="E331" s="199"/>
      <c r="F331" s="94" t="s">
        <v>594</v>
      </c>
      <c r="G331" s="97">
        <v>8</v>
      </c>
      <c r="H331" s="97">
        <v>0</v>
      </c>
    </row>
    <row r="332" spans="1:8" x14ac:dyDescent="0.3">
      <c r="A332" s="134"/>
      <c r="B332" s="134"/>
      <c r="C332" s="134"/>
      <c r="D332" s="135" t="s">
        <v>858</v>
      </c>
      <c r="E332" s="207"/>
      <c r="F332" s="207"/>
      <c r="G332" s="137">
        <v>8</v>
      </c>
      <c r="H332" s="134"/>
    </row>
    <row r="333" spans="1:8" ht="15" customHeight="1" x14ac:dyDescent="0.25">
      <c r="A333" s="94" t="s">
        <v>595</v>
      </c>
      <c r="B333" s="94" t="s">
        <v>112</v>
      </c>
      <c r="C333" s="94" t="s">
        <v>596</v>
      </c>
      <c r="D333" s="199" t="s">
        <v>597</v>
      </c>
      <c r="E333" s="199"/>
      <c r="F333" s="94" t="s">
        <v>594</v>
      </c>
      <c r="G333" s="97">
        <v>4</v>
      </c>
      <c r="H333" s="97">
        <v>0</v>
      </c>
    </row>
    <row r="334" spans="1:8" x14ac:dyDescent="0.3">
      <c r="A334" s="134"/>
      <c r="B334" s="134"/>
      <c r="C334" s="134"/>
      <c r="D334" s="135" t="s">
        <v>859</v>
      </c>
      <c r="E334" s="207"/>
      <c r="F334" s="207"/>
      <c r="G334" s="137">
        <v>4</v>
      </c>
      <c r="H334" s="134"/>
    </row>
    <row r="335" spans="1:8" ht="15" customHeight="1" x14ac:dyDescent="0.25">
      <c r="A335" s="94" t="s">
        <v>599</v>
      </c>
      <c r="B335" s="94" t="s">
        <v>112</v>
      </c>
      <c r="C335" s="94" t="s">
        <v>600</v>
      </c>
      <c r="D335" s="199" t="s">
        <v>601</v>
      </c>
      <c r="E335" s="199"/>
      <c r="F335" s="94" t="s">
        <v>287</v>
      </c>
      <c r="G335" s="97">
        <v>6</v>
      </c>
      <c r="H335" s="97">
        <v>0</v>
      </c>
    </row>
    <row r="336" spans="1:8" x14ac:dyDescent="0.3">
      <c r="A336" s="134"/>
      <c r="B336" s="134"/>
      <c r="C336" s="134"/>
      <c r="D336" s="135" t="s">
        <v>698</v>
      </c>
      <c r="E336" s="207"/>
      <c r="F336" s="207"/>
      <c r="G336" s="137">
        <v>6</v>
      </c>
      <c r="H336" s="134"/>
    </row>
    <row r="337" spans="1:8" ht="15" customHeight="1" x14ac:dyDescent="0.25">
      <c r="A337" s="94" t="s">
        <v>604</v>
      </c>
      <c r="B337" s="94" t="s">
        <v>112</v>
      </c>
      <c r="C337" s="94" t="s">
        <v>605</v>
      </c>
      <c r="D337" s="199" t="s">
        <v>606</v>
      </c>
      <c r="E337" s="199"/>
      <c r="F337" s="94" t="s">
        <v>155</v>
      </c>
      <c r="G337" s="97">
        <v>460</v>
      </c>
      <c r="H337" s="97">
        <v>0</v>
      </c>
    </row>
    <row r="338" spans="1:8" x14ac:dyDescent="0.3">
      <c r="A338" s="134"/>
      <c r="B338" s="134"/>
      <c r="C338" s="134"/>
      <c r="D338" s="135" t="s">
        <v>857</v>
      </c>
      <c r="E338" s="207"/>
      <c r="F338" s="207"/>
      <c r="G338" s="137">
        <v>460</v>
      </c>
      <c r="H338" s="134"/>
    </row>
    <row r="339" spans="1:8" ht="15" customHeight="1" x14ac:dyDescent="0.25">
      <c r="A339" s="105" t="s">
        <v>607</v>
      </c>
      <c r="B339" s="105" t="s">
        <v>112</v>
      </c>
      <c r="C339" s="105" t="s">
        <v>608</v>
      </c>
      <c r="D339" s="201" t="s">
        <v>609</v>
      </c>
      <c r="E339" s="201"/>
      <c r="F339" s="105" t="s">
        <v>155</v>
      </c>
      <c r="G339" s="108">
        <v>529</v>
      </c>
      <c r="H339" s="108">
        <v>0</v>
      </c>
    </row>
    <row r="340" spans="1:8" x14ac:dyDescent="0.3">
      <c r="A340" s="134"/>
      <c r="B340" s="134"/>
      <c r="C340" s="134"/>
      <c r="D340" s="135" t="s">
        <v>857</v>
      </c>
      <c r="E340" s="207"/>
      <c r="F340" s="207"/>
      <c r="G340" s="138">
        <v>460</v>
      </c>
      <c r="H340" s="134"/>
    </row>
    <row r="341" spans="1:8" ht="13.2" x14ac:dyDescent="0.25">
      <c r="A341" s="105"/>
      <c r="B341" s="105"/>
      <c r="C341" s="105"/>
      <c r="D341" s="135" t="s">
        <v>860</v>
      </c>
      <c r="E341" s="207"/>
      <c r="F341" s="207"/>
      <c r="G341" s="138">
        <v>69</v>
      </c>
      <c r="H341" s="110"/>
    </row>
    <row r="342" spans="1:8" ht="15" customHeight="1" x14ac:dyDescent="0.25">
      <c r="A342" s="94" t="s">
        <v>610</v>
      </c>
      <c r="B342" s="94" t="s">
        <v>112</v>
      </c>
      <c r="C342" s="94" t="s">
        <v>611</v>
      </c>
      <c r="D342" s="199" t="s">
        <v>612</v>
      </c>
      <c r="E342" s="199"/>
      <c r="F342" s="94" t="s">
        <v>155</v>
      </c>
      <c r="G342" s="97">
        <v>460</v>
      </c>
      <c r="H342" s="97">
        <v>0</v>
      </c>
    </row>
    <row r="343" spans="1:8" x14ac:dyDescent="0.3">
      <c r="A343" s="134"/>
      <c r="B343" s="134"/>
      <c r="C343" s="134"/>
      <c r="D343" s="135" t="s">
        <v>857</v>
      </c>
      <c r="E343" s="207"/>
      <c r="F343" s="207"/>
      <c r="G343" s="137">
        <v>460</v>
      </c>
      <c r="H343" s="134"/>
    </row>
    <row r="344" spans="1:8" ht="15" customHeight="1" x14ac:dyDescent="0.25">
      <c r="A344" s="94" t="s">
        <v>613</v>
      </c>
      <c r="B344" s="94" t="s">
        <v>112</v>
      </c>
      <c r="C344" s="94" t="s">
        <v>614</v>
      </c>
      <c r="D344" s="199" t="s">
        <v>615</v>
      </c>
      <c r="E344" s="199"/>
      <c r="F344" s="94" t="s">
        <v>155</v>
      </c>
      <c r="G344" s="97">
        <v>460</v>
      </c>
      <c r="H344" s="97">
        <v>0</v>
      </c>
    </row>
    <row r="345" spans="1:8" x14ac:dyDescent="0.3">
      <c r="A345" s="134"/>
      <c r="B345" s="134"/>
      <c r="C345" s="134"/>
      <c r="D345" s="135" t="s">
        <v>857</v>
      </c>
      <c r="E345" s="207"/>
      <c r="F345" s="207"/>
      <c r="G345" s="137">
        <v>460</v>
      </c>
      <c r="H345" s="134"/>
    </row>
    <row r="346" spans="1:8" ht="15" customHeight="1" x14ac:dyDescent="0.25">
      <c r="A346" s="94" t="s">
        <v>616</v>
      </c>
      <c r="B346" s="94" t="s">
        <v>112</v>
      </c>
      <c r="C346" s="94" t="s">
        <v>617</v>
      </c>
      <c r="D346" s="199" t="s">
        <v>618</v>
      </c>
      <c r="E346" s="199"/>
      <c r="F346" s="94" t="s">
        <v>155</v>
      </c>
      <c r="G346" s="97">
        <v>460</v>
      </c>
      <c r="H346" s="97">
        <v>0</v>
      </c>
    </row>
    <row r="347" spans="1:8" x14ac:dyDescent="0.3">
      <c r="A347" s="134"/>
      <c r="B347" s="134"/>
      <c r="C347" s="134"/>
      <c r="D347" s="135" t="s">
        <v>857</v>
      </c>
      <c r="E347" s="207"/>
      <c r="F347" s="207"/>
      <c r="G347" s="137">
        <v>460</v>
      </c>
      <c r="H347" s="134"/>
    </row>
    <row r="348" spans="1:8" ht="15" customHeight="1" x14ac:dyDescent="0.25">
      <c r="A348" s="94" t="s">
        <v>619</v>
      </c>
      <c r="B348" s="94" t="s">
        <v>112</v>
      </c>
      <c r="C348" s="94" t="s">
        <v>620</v>
      </c>
      <c r="D348" s="199" t="s">
        <v>621</v>
      </c>
      <c r="E348" s="199"/>
      <c r="F348" s="94" t="s">
        <v>323</v>
      </c>
      <c r="G348" s="97">
        <v>601.11599999999999</v>
      </c>
      <c r="H348" s="97">
        <v>0</v>
      </c>
    </row>
    <row r="349" spans="1:8" x14ac:dyDescent="0.3">
      <c r="A349" s="134"/>
      <c r="B349" s="134"/>
      <c r="C349" s="134"/>
      <c r="D349" s="135" t="s">
        <v>861</v>
      </c>
      <c r="E349" s="207"/>
      <c r="F349" s="207"/>
      <c r="G349" s="137">
        <v>601.11599999999999</v>
      </c>
      <c r="H349" s="134"/>
    </row>
    <row r="350" spans="1:8" ht="15" customHeight="1" x14ac:dyDescent="0.25">
      <c r="A350" s="94" t="s">
        <v>622</v>
      </c>
      <c r="B350" s="94" t="s">
        <v>112</v>
      </c>
      <c r="C350" s="94" t="s">
        <v>623</v>
      </c>
      <c r="D350" s="199" t="s">
        <v>624</v>
      </c>
      <c r="E350" s="199"/>
      <c r="F350" s="94" t="s">
        <v>323</v>
      </c>
      <c r="G350" s="97">
        <v>6008.52</v>
      </c>
      <c r="H350" s="97">
        <v>0</v>
      </c>
    </row>
    <row r="351" spans="1:8" x14ac:dyDescent="0.3">
      <c r="A351" s="134"/>
      <c r="B351" s="134"/>
      <c r="C351" s="134"/>
      <c r="D351" s="135" t="s">
        <v>862</v>
      </c>
      <c r="E351" s="207"/>
      <c r="F351" s="207"/>
      <c r="G351" s="137">
        <v>6008.52</v>
      </c>
      <c r="H351" s="134"/>
    </row>
    <row r="352" spans="1:8" ht="15" customHeight="1" x14ac:dyDescent="0.25">
      <c r="A352" s="94" t="s">
        <v>625</v>
      </c>
      <c r="B352" s="94" t="s">
        <v>112</v>
      </c>
      <c r="C352" s="94" t="s">
        <v>405</v>
      </c>
      <c r="D352" s="199" t="s">
        <v>626</v>
      </c>
      <c r="E352" s="199"/>
      <c r="F352" s="94" t="s">
        <v>323</v>
      </c>
      <c r="G352" s="97">
        <v>325.54199999999997</v>
      </c>
      <c r="H352" s="97">
        <v>0</v>
      </c>
    </row>
    <row r="353" spans="1:8" x14ac:dyDescent="0.3">
      <c r="A353" s="134"/>
      <c r="B353" s="134"/>
      <c r="C353" s="134"/>
      <c r="D353" s="135" t="s">
        <v>863</v>
      </c>
      <c r="E353" s="207"/>
      <c r="F353" s="207"/>
      <c r="G353" s="137">
        <v>325.54199999999997</v>
      </c>
      <c r="H353" s="134"/>
    </row>
    <row r="354" spans="1:8" ht="15" customHeight="1" x14ac:dyDescent="0.25">
      <c r="A354" s="94" t="s">
        <v>627</v>
      </c>
      <c r="B354" s="94" t="s">
        <v>112</v>
      </c>
      <c r="C354" s="94" t="s">
        <v>628</v>
      </c>
      <c r="D354" s="199" t="s">
        <v>629</v>
      </c>
      <c r="E354" s="199"/>
      <c r="F354" s="94" t="s">
        <v>155</v>
      </c>
      <c r="G354" s="97">
        <v>460</v>
      </c>
      <c r="H354" s="97">
        <v>0</v>
      </c>
    </row>
    <row r="355" spans="1:8" x14ac:dyDescent="0.3">
      <c r="A355" s="134"/>
      <c r="B355" s="134"/>
      <c r="C355" s="134"/>
      <c r="D355" s="135" t="s">
        <v>857</v>
      </c>
      <c r="E355" s="207"/>
      <c r="F355" s="207"/>
      <c r="G355" s="137">
        <v>460</v>
      </c>
      <c r="H355" s="134"/>
    </row>
    <row r="356" spans="1:8" ht="15" customHeight="1" x14ac:dyDescent="0.25">
      <c r="A356" s="94" t="s">
        <v>630</v>
      </c>
      <c r="B356" s="94" t="s">
        <v>112</v>
      </c>
      <c r="C356" s="94" t="s">
        <v>453</v>
      </c>
      <c r="D356" s="199" t="s">
        <v>454</v>
      </c>
      <c r="E356" s="199"/>
      <c r="F356" s="94" t="s">
        <v>323</v>
      </c>
      <c r="G356" s="97">
        <v>0.65800000000000003</v>
      </c>
      <c r="H356" s="97">
        <v>0</v>
      </c>
    </row>
    <row r="357" spans="1:8" x14ac:dyDescent="0.3">
      <c r="A357" s="134"/>
      <c r="B357" s="134"/>
      <c r="C357" s="134"/>
      <c r="D357" s="135" t="s">
        <v>864</v>
      </c>
      <c r="E357" s="207"/>
      <c r="F357" s="207"/>
      <c r="G357" s="137">
        <v>0.65800000000000003</v>
      </c>
      <c r="H357" s="134"/>
    </row>
    <row r="358" spans="1:8" ht="15" customHeight="1" x14ac:dyDescent="0.25">
      <c r="A358" s="94" t="s">
        <v>631</v>
      </c>
      <c r="B358" s="94" t="s">
        <v>112</v>
      </c>
      <c r="C358" s="94" t="s">
        <v>456</v>
      </c>
      <c r="D358" s="199" t="s">
        <v>457</v>
      </c>
      <c r="E358" s="199"/>
      <c r="F358" s="94" t="s">
        <v>323</v>
      </c>
      <c r="G358" s="97">
        <v>6.58</v>
      </c>
      <c r="H358" s="97">
        <v>0</v>
      </c>
    </row>
    <row r="359" spans="1:8" x14ac:dyDescent="0.3">
      <c r="A359" s="134"/>
      <c r="B359" s="134"/>
      <c r="C359" s="134"/>
      <c r="D359" s="135" t="s">
        <v>865</v>
      </c>
      <c r="E359" s="207"/>
      <c r="F359" s="207"/>
      <c r="G359" s="137">
        <v>6.58</v>
      </c>
      <c r="H359" s="134"/>
    </row>
    <row r="360" spans="1:8" ht="15" customHeight="1" x14ac:dyDescent="0.25">
      <c r="A360" s="94" t="s">
        <v>632</v>
      </c>
      <c r="B360" s="94" t="s">
        <v>112</v>
      </c>
      <c r="C360" s="94" t="s">
        <v>414</v>
      </c>
      <c r="D360" s="199" t="s">
        <v>415</v>
      </c>
      <c r="E360" s="199"/>
      <c r="F360" s="94" t="s">
        <v>323</v>
      </c>
      <c r="G360" s="97">
        <v>0.65800000000000003</v>
      </c>
      <c r="H360" s="97">
        <v>0</v>
      </c>
    </row>
    <row r="361" spans="1:8" x14ac:dyDescent="0.3">
      <c r="A361" s="134"/>
      <c r="B361" s="134"/>
      <c r="C361" s="134"/>
      <c r="D361" s="135" t="s">
        <v>866</v>
      </c>
      <c r="E361" s="207"/>
      <c r="F361" s="207"/>
      <c r="G361" s="137">
        <v>0.65800000000000003</v>
      </c>
      <c r="H361" s="134"/>
    </row>
    <row r="362" spans="1:8" ht="15" customHeight="1" x14ac:dyDescent="0.25">
      <c r="A362" s="94" t="s">
        <v>633</v>
      </c>
      <c r="B362" s="94" t="s">
        <v>112</v>
      </c>
      <c r="C362" s="94" t="s">
        <v>634</v>
      </c>
      <c r="D362" s="199" t="s">
        <v>635</v>
      </c>
      <c r="E362" s="199"/>
      <c r="F362" s="94" t="s">
        <v>176</v>
      </c>
      <c r="G362" s="97">
        <v>117.5</v>
      </c>
      <c r="H362" s="97">
        <v>0</v>
      </c>
    </row>
    <row r="363" spans="1:8" x14ac:dyDescent="0.3">
      <c r="A363" s="134"/>
      <c r="B363" s="134"/>
      <c r="C363" s="134"/>
      <c r="D363" s="135" t="s">
        <v>419</v>
      </c>
      <c r="E363" s="207" t="s">
        <v>867</v>
      </c>
      <c r="F363" s="207"/>
      <c r="G363" s="137">
        <v>70</v>
      </c>
      <c r="H363" s="134"/>
    </row>
    <row r="364" spans="1:8" ht="13.2" x14ac:dyDescent="0.25">
      <c r="A364" s="94"/>
      <c r="B364" s="94"/>
      <c r="C364" s="94"/>
      <c r="D364" s="135" t="s">
        <v>868</v>
      </c>
      <c r="E364" s="207" t="s">
        <v>869</v>
      </c>
      <c r="F364" s="207"/>
      <c r="G364" s="137">
        <v>47.5</v>
      </c>
      <c r="H364" s="99"/>
    </row>
    <row r="365" spans="1:8" ht="15" customHeight="1" x14ac:dyDescent="0.25">
      <c r="A365" s="94" t="s">
        <v>637</v>
      </c>
      <c r="B365" s="94" t="s">
        <v>112</v>
      </c>
      <c r="C365" s="94" t="s">
        <v>638</v>
      </c>
      <c r="D365" s="199" t="s">
        <v>639</v>
      </c>
      <c r="E365" s="199"/>
      <c r="F365" s="94" t="s">
        <v>176</v>
      </c>
      <c r="G365" s="97">
        <v>117.5</v>
      </c>
      <c r="H365" s="97">
        <v>0</v>
      </c>
    </row>
    <row r="366" spans="1:8" x14ac:dyDescent="0.3">
      <c r="A366" s="134"/>
      <c r="B366" s="134"/>
      <c r="C366" s="134"/>
      <c r="D366" s="135" t="s">
        <v>870</v>
      </c>
      <c r="E366" s="207"/>
      <c r="F366" s="207"/>
      <c r="G366" s="137">
        <v>117.5</v>
      </c>
      <c r="H366" s="134"/>
    </row>
    <row r="367" spans="1:8" ht="24" customHeight="1" x14ac:dyDescent="0.25">
      <c r="A367" s="105" t="s">
        <v>640</v>
      </c>
      <c r="B367" s="105" t="s">
        <v>112</v>
      </c>
      <c r="C367" s="105" t="s">
        <v>641</v>
      </c>
      <c r="D367" s="201" t="s">
        <v>642</v>
      </c>
      <c r="E367" s="201"/>
      <c r="F367" s="105" t="s">
        <v>212</v>
      </c>
      <c r="G367" s="108">
        <v>38</v>
      </c>
      <c r="H367" s="108">
        <v>0</v>
      </c>
    </row>
    <row r="368" spans="1:8" x14ac:dyDescent="0.3">
      <c r="A368" s="134"/>
      <c r="B368" s="134"/>
      <c r="C368" s="134"/>
      <c r="D368" s="135" t="s">
        <v>311</v>
      </c>
      <c r="E368" s="207"/>
      <c r="F368" s="207"/>
      <c r="G368" s="138">
        <v>38</v>
      </c>
      <c r="H368" s="134"/>
    </row>
    <row r="369" spans="1:8" ht="15" customHeight="1" x14ac:dyDescent="0.25">
      <c r="A369" s="105" t="s">
        <v>643</v>
      </c>
      <c r="B369" s="105" t="s">
        <v>112</v>
      </c>
      <c r="C369" s="105" t="s">
        <v>644</v>
      </c>
      <c r="D369" s="201" t="s">
        <v>645</v>
      </c>
      <c r="E369" s="201"/>
      <c r="F369" s="105" t="s">
        <v>212</v>
      </c>
      <c r="G369" s="108">
        <v>2</v>
      </c>
      <c r="H369" s="108">
        <v>0</v>
      </c>
    </row>
    <row r="370" spans="1:8" x14ac:dyDescent="0.3">
      <c r="A370" s="134"/>
      <c r="B370" s="134"/>
      <c r="C370" s="134"/>
      <c r="D370" s="135" t="s">
        <v>162</v>
      </c>
      <c r="E370" s="207"/>
      <c r="F370" s="207"/>
      <c r="G370" s="138">
        <v>2</v>
      </c>
      <c r="H370" s="134"/>
    </row>
    <row r="371" spans="1:8" ht="24" customHeight="1" x14ac:dyDescent="0.25">
      <c r="A371" s="105" t="s">
        <v>646</v>
      </c>
      <c r="B371" s="105" t="s">
        <v>112</v>
      </c>
      <c r="C371" s="105" t="s">
        <v>647</v>
      </c>
      <c r="D371" s="201" t="s">
        <v>648</v>
      </c>
      <c r="E371" s="201"/>
      <c r="F371" s="105" t="s">
        <v>212</v>
      </c>
      <c r="G371" s="108">
        <v>40</v>
      </c>
      <c r="H371" s="108">
        <v>0</v>
      </c>
    </row>
    <row r="372" spans="1:8" x14ac:dyDescent="0.3">
      <c r="A372" s="134"/>
      <c r="B372" s="134"/>
      <c r="C372" s="134"/>
      <c r="D372" s="135" t="s">
        <v>871</v>
      </c>
      <c r="E372" s="207"/>
      <c r="F372" s="207"/>
      <c r="G372" s="138">
        <v>40</v>
      </c>
      <c r="H372" s="134"/>
    </row>
    <row r="373" spans="1:8" ht="24" customHeight="1" x14ac:dyDescent="0.25">
      <c r="A373" s="105" t="s">
        <v>649</v>
      </c>
      <c r="B373" s="105" t="s">
        <v>112</v>
      </c>
      <c r="C373" s="105" t="s">
        <v>650</v>
      </c>
      <c r="D373" s="201" t="s">
        <v>651</v>
      </c>
      <c r="E373" s="201"/>
      <c r="F373" s="105" t="s">
        <v>212</v>
      </c>
      <c r="G373" s="108">
        <v>1</v>
      </c>
      <c r="H373" s="108">
        <v>0</v>
      </c>
    </row>
    <row r="374" spans="1:8" x14ac:dyDescent="0.3">
      <c r="A374" s="134"/>
      <c r="B374" s="134"/>
      <c r="C374" s="134"/>
      <c r="D374" s="135" t="s">
        <v>152</v>
      </c>
      <c r="E374" s="207"/>
      <c r="F374" s="207"/>
      <c r="G374" s="138">
        <v>1</v>
      </c>
      <c r="H374" s="134"/>
    </row>
    <row r="375" spans="1:8" ht="15" customHeight="1" x14ac:dyDescent="0.25">
      <c r="A375" s="105" t="s">
        <v>652</v>
      </c>
      <c r="B375" s="105" t="s">
        <v>112</v>
      </c>
      <c r="C375" s="105" t="s">
        <v>653</v>
      </c>
      <c r="D375" s="201" t="s">
        <v>654</v>
      </c>
      <c r="E375" s="201"/>
      <c r="F375" s="105" t="s">
        <v>212</v>
      </c>
      <c r="G375" s="108">
        <v>80</v>
      </c>
      <c r="H375" s="108">
        <v>0</v>
      </c>
    </row>
    <row r="376" spans="1:8" x14ac:dyDescent="0.3">
      <c r="A376" s="134"/>
      <c r="B376" s="134"/>
      <c r="C376" s="134"/>
      <c r="D376" s="135" t="s">
        <v>872</v>
      </c>
      <c r="E376" s="207"/>
      <c r="F376" s="207"/>
      <c r="G376" s="138">
        <v>80</v>
      </c>
      <c r="H376" s="134"/>
    </row>
    <row r="377" spans="1:8" ht="15" customHeight="1" x14ac:dyDescent="0.25">
      <c r="A377" s="105" t="s">
        <v>655</v>
      </c>
      <c r="B377" s="105" t="s">
        <v>112</v>
      </c>
      <c r="C377" s="105" t="s">
        <v>656</v>
      </c>
      <c r="D377" s="201" t="s">
        <v>657</v>
      </c>
      <c r="E377" s="201"/>
      <c r="F377" s="105" t="s">
        <v>212</v>
      </c>
      <c r="G377" s="108">
        <v>4</v>
      </c>
      <c r="H377" s="108">
        <v>0</v>
      </c>
    </row>
    <row r="378" spans="1:8" x14ac:dyDescent="0.3">
      <c r="A378" s="134"/>
      <c r="B378" s="134"/>
      <c r="C378" s="134"/>
      <c r="D378" s="135" t="s">
        <v>173</v>
      </c>
      <c r="E378" s="207"/>
      <c r="F378" s="207"/>
      <c r="G378" s="138">
        <v>4</v>
      </c>
      <c r="H378" s="134"/>
    </row>
    <row r="379" spans="1:8" ht="15" customHeight="1" x14ac:dyDescent="0.25">
      <c r="A379" s="94" t="s">
        <v>658</v>
      </c>
      <c r="B379" s="94" t="s">
        <v>112</v>
      </c>
      <c r="C379" s="94" t="s">
        <v>659</v>
      </c>
      <c r="D379" s="199" t="s">
        <v>660</v>
      </c>
      <c r="E379" s="199"/>
      <c r="F379" s="94" t="s">
        <v>323</v>
      </c>
      <c r="G379" s="97">
        <v>2.8559999999999999</v>
      </c>
      <c r="H379" s="97">
        <v>0</v>
      </c>
    </row>
    <row r="380" spans="1:8" x14ac:dyDescent="0.3">
      <c r="A380" s="134"/>
      <c r="B380" s="134"/>
      <c r="C380" s="134"/>
      <c r="D380" s="135" t="s">
        <v>873</v>
      </c>
      <c r="E380" s="207"/>
      <c r="F380" s="207"/>
      <c r="G380" s="137">
        <v>2.8559999999999999</v>
      </c>
      <c r="H380" s="134"/>
    </row>
    <row r="381" spans="1:8" ht="15" customHeight="1" x14ac:dyDescent="0.25">
      <c r="A381" s="94" t="s">
        <v>663</v>
      </c>
      <c r="B381" s="94" t="s">
        <v>112</v>
      </c>
      <c r="C381" s="94" t="s">
        <v>664</v>
      </c>
      <c r="D381" s="199" t="s">
        <v>665</v>
      </c>
      <c r="E381" s="199"/>
      <c r="F381" s="94" t="s">
        <v>323</v>
      </c>
      <c r="G381" s="97">
        <v>5.25</v>
      </c>
      <c r="H381" s="97">
        <v>0</v>
      </c>
    </row>
    <row r="382" spans="1:8" x14ac:dyDescent="0.3">
      <c r="A382" s="134"/>
      <c r="B382" s="134"/>
      <c r="C382" s="134"/>
      <c r="D382" s="135" t="s">
        <v>874</v>
      </c>
      <c r="E382" s="207"/>
      <c r="F382" s="207"/>
      <c r="G382" s="137">
        <v>5.25</v>
      </c>
      <c r="H382" s="134"/>
    </row>
    <row r="383" spans="1:8" ht="15" customHeight="1" x14ac:dyDescent="0.25">
      <c r="A383" s="94" t="s">
        <v>668</v>
      </c>
      <c r="B383" s="94" t="s">
        <v>112</v>
      </c>
      <c r="C383" s="94" t="s">
        <v>669</v>
      </c>
      <c r="D383" s="199" t="s">
        <v>670</v>
      </c>
      <c r="E383" s="199"/>
      <c r="F383" s="94" t="s">
        <v>323</v>
      </c>
      <c r="G383" s="97">
        <v>52.5</v>
      </c>
      <c r="H383" s="97">
        <v>0</v>
      </c>
    </row>
    <row r="384" spans="1:8" x14ac:dyDescent="0.3">
      <c r="A384" s="134"/>
      <c r="B384" s="134"/>
      <c r="C384" s="134"/>
      <c r="D384" s="135" t="s">
        <v>875</v>
      </c>
      <c r="E384" s="207"/>
      <c r="F384" s="207"/>
      <c r="G384" s="137">
        <v>52.5</v>
      </c>
      <c r="H384" s="134"/>
    </row>
    <row r="385" spans="1:8" ht="15" customHeight="1" x14ac:dyDescent="0.25">
      <c r="A385" s="94" t="s">
        <v>671</v>
      </c>
      <c r="B385" s="94" t="s">
        <v>112</v>
      </c>
      <c r="C385" s="94" t="s">
        <v>672</v>
      </c>
      <c r="D385" s="199" t="s">
        <v>673</v>
      </c>
      <c r="E385" s="199"/>
      <c r="F385" s="94" t="s">
        <v>674</v>
      </c>
      <c r="G385" s="97">
        <v>1</v>
      </c>
      <c r="H385" s="97">
        <v>0</v>
      </c>
    </row>
    <row r="386" spans="1:8" x14ac:dyDescent="0.3">
      <c r="A386" s="134"/>
      <c r="B386" s="134"/>
      <c r="C386" s="134"/>
      <c r="D386" s="135" t="s">
        <v>152</v>
      </c>
      <c r="E386" s="207"/>
      <c r="F386" s="207"/>
      <c r="G386" s="137">
        <v>1</v>
      </c>
      <c r="H386" s="134"/>
    </row>
    <row r="387" spans="1:8" ht="15" customHeight="1" x14ac:dyDescent="0.25">
      <c r="A387" s="94" t="s">
        <v>675</v>
      </c>
      <c r="B387" s="94" t="s">
        <v>112</v>
      </c>
      <c r="C387" s="94" t="s">
        <v>676</v>
      </c>
      <c r="D387" s="199" t="s">
        <v>677</v>
      </c>
      <c r="E387" s="199"/>
      <c r="F387" s="94" t="s">
        <v>674</v>
      </c>
      <c r="G387" s="97">
        <v>1</v>
      </c>
      <c r="H387" s="97">
        <v>0</v>
      </c>
    </row>
    <row r="388" spans="1:8" x14ac:dyDescent="0.3">
      <c r="A388" s="134"/>
      <c r="B388" s="134"/>
      <c r="C388" s="134"/>
      <c r="D388" s="135" t="s">
        <v>152</v>
      </c>
      <c r="E388" s="207"/>
      <c r="F388" s="207"/>
      <c r="G388" s="137">
        <v>1</v>
      </c>
      <c r="H388" s="134"/>
    </row>
    <row r="389" spans="1:8" ht="15" customHeight="1" x14ac:dyDescent="0.25">
      <c r="A389" s="94" t="s">
        <v>678</v>
      </c>
      <c r="B389" s="94" t="s">
        <v>112</v>
      </c>
      <c r="C389" s="94" t="s">
        <v>679</v>
      </c>
      <c r="D389" s="199" t="s">
        <v>680</v>
      </c>
      <c r="E389" s="199"/>
      <c r="F389" s="94" t="s">
        <v>212</v>
      </c>
      <c r="G389" s="97">
        <v>1</v>
      </c>
      <c r="H389" s="97">
        <v>0</v>
      </c>
    </row>
    <row r="390" spans="1:8" x14ac:dyDescent="0.3">
      <c r="A390" s="134"/>
      <c r="B390" s="134"/>
      <c r="C390" s="134"/>
      <c r="D390" s="135" t="s">
        <v>152</v>
      </c>
      <c r="E390" s="207"/>
      <c r="F390" s="207"/>
      <c r="G390" s="137">
        <v>1</v>
      </c>
      <c r="H390" s="134"/>
    </row>
    <row r="391" spans="1:8" ht="15" customHeight="1" x14ac:dyDescent="0.25">
      <c r="A391" s="105" t="s">
        <v>681</v>
      </c>
      <c r="B391" s="105" t="s">
        <v>112</v>
      </c>
      <c r="C391" s="105" t="s">
        <v>682</v>
      </c>
      <c r="D391" s="201" t="s">
        <v>683</v>
      </c>
      <c r="E391" s="201"/>
      <c r="F391" s="105" t="s">
        <v>212</v>
      </c>
      <c r="G391" s="108">
        <v>1</v>
      </c>
      <c r="H391" s="108">
        <v>0</v>
      </c>
    </row>
    <row r="392" spans="1:8" x14ac:dyDescent="0.3">
      <c r="A392" s="134"/>
      <c r="B392" s="134"/>
      <c r="C392" s="134"/>
      <c r="D392" s="135" t="s">
        <v>152</v>
      </c>
      <c r="E392" s="207"/>
      <c r="F392" s="207"/>
      <c r="G392" s="138">
        <v>1</v>
      </c>
      <c r="H392" s="134"/>
    </row>
    <row r="394" spans="1:8" x14ac:dyDescent="0.3">
      <c r="A394"/>
    </row>
    <row r="395" spans="1:8" hidden="1" x14ac:dyDescent="0.3">
      <c r="A395" s="8"/>
      <c r="B395" s="8"/>
      <c r="C395" s="8"/>
      <c r="D395" s="8"/>
      <c r="E395" s="8"/>
      <c r="F395" s="8"/>
      <c r="G395" s="8"/>
    </row>
  </sheetData>
  <mergeCells count="401">
    <mergeCell ref="D389:E389"/>
    <mergeCell ref="E390:F390"/>
    <mergeCell ref="D391:E391"/>
    <mergeCell ref="E392:F392"/>
    <mergeCell ref="A395:G395"/>
    <mergeCell ref="E380:F380"/>
    <mergeCell ref="D381:E381"/>
    <mergeCell ref="E382:F382"/>
    <mergeCell ref="D383:E383"/>
    <mergeCell ref="E384:F384"/>
    <mergeCell ref="D385:E385"/>
    <mergeCell ref="E386:F386"/>
    <mergeCell ref="D387:E387"/>
    <mergeCell ref="E388:F388"/>
    <mergeCell ref="D371:E371"/>
    <mergeCell ref="E372:F372"/>
    <mergeCell ref="D373:E373"/>
    <mergeCell ref="E374:F374"/>
    <mergeCell ref="D375:E375"/>
    <mergeCell ref="E376:F376"/>
    <mergeCell ref="D377:E377"/>
    <mergeCell ref="E378:F378"/>
    <mergeCell ref="D379:E379"/>
    <mergeCell ref="D362:E362"/>
    <mergeCell ref="E363:F363"/>
    <mergeCell ref="E364:F364"/>
    <mergeCell ref="D365:E365"/>
    <mergeCell ref="E366:F366"/>
    <mergeCell ref="D367:E367"/>
    <mergeCell ref="E368:F368"/>
    <mergeCell ref="D369:E369"/>
    <mergeCell ref="E370:F370"/>
    <mergeCell ref="E353:F353"/>
    <mergeCell ref="D354:E354"/>
    <mergeCell ref="E355:F355"/>
    <mergeCell ref="D356:E356"/>
    <mergeCell ref="E357:F357"/>
    <mergeCell ref="D358:E358"/>
    <mergeCell ref="E359:F359"/>
    <mergeCell ref="D360:E360"/>
    <mergeCell ref="E361:F361"/>
    <mergeCell ref="D344:E344"/>
    <mergeCell ref="E345:F345"/>
    <mergeCell ref="D346:E346"/>
    <mergeCell ref="E347:F347"/>
    <mergeCell ref="D348:E348"/>
    <mergeCell ref="E349:F349"/>
    <mergeCell ref="D350:E350"/>
    <mergeCell ref="E351:F351"/>
    <mergeCell ref="D352:E352"/>
    <mergeCell ref="D335:E335"/>
    <mergeCell ref="E336:F336"/>
    <mergeCell ref="D337:E337"/>
    <mergeCell ref="E338:F338"/>
    <mergeCell ref="D339:E339"/>
    <mergeCell ref="E340:F340"/>
    <mergeCell ref="E341:F341"/>
    <mergeCell ref="D342:E342"/>
    <mergeCell ref="E343:F343"/>
    <mergeCell ref="E326:F326"/>
    <mergeCell ref="D327:E327"/>
    <mergeCell ref="E328:F328"/>
    <mergeCell ref="D329:E329"/>
    <mergeCell ref="E330:F330"/>
    <mergeCell ref="D331:E331"/>
    <mergeCell ref="E332:F332"/>
    <mergeCell ref="D333:E333"/>
    <mergeCell ref="E334:F334"/>
    <mergeCell ref="D317:E317"/>
    <mergeCell ref="E318:F318"/>
    <mergeCell ref="D319:E319"/>
    <mergeCell ref="E320:F320"/>
    <mergeCell ref="D321:E321"/>
    <mergeCell ref="E322:F322"/>
    <mergeCell ref="D323:E323"/>
    <mergeCell ref="E324:F324"/>
    <mergeCell ref="D325:E325"/>
    <mergeCell ref="E308:F308"/>
    <mergeCell ref="D309:E309"/>
    <mergeCell ref="E310:F310"/>
    <mergeCell ref="D311:E311"/>
    <mergeCell ref="E312:F312"/>
    <mergeCell ref="D313:E313"/>
    <mergeCell ref="E314:F314"/>
    <mergeCell ref="D315:E315"/>
    <mergeCell ref="E316:F316"/>
    <mergeCell ref="D299:E299"/>
    <mergeCell ref="E300:F300"/>
    <mergeCell ref="D301:E301"/>
    <mergeCell ref="E302:F302"/>
    <mergeCell ref="D303:E303"/>
    <mergeCell ref="E304:F304"/>
    <mergeCell ref="D305:E305"/>
    <mergeCell ref="E306:F306"/>
    <mergeCell ref="D307:E307"/>
    <mergeCell ref="E290:F290"/>
    <mergeCell ref="E291:F291"/>
    <mergeCell ref="D292:E292"/>
    <mergeCell ref="E293:F293"/>
    <mergeCell ref="E294:F294"/>
    <mergeCell ref="D295:E295"/>
    <mergeCell ref="E296:F296"/>
    <mergeCell ref="D297:E297"/>
    <mergeCell ref="E298:F298"/>
    <mergeCell ref="E281:F281"/>
    <mergeCell ref="D282:E282"/>
    <mergeCell ref="E283:F283"/>
    <mergeCell ref="D284:E284"/>
    <mergeCell ref="E285:F285"/>
    <mergeCell ref="D286:E286"/>
    <mergeCell ref="E287:F287"/>
    <mergeCell ref="E288:F288"/>
    <mergeCell ref="E289:F289"/>
    <mergeCell ref="D272:E272"/>
    <mergeCell ref="E273:F273"/>
    <mergeCell ref="D274:E274"/>
    <mergeCell ref="E275:F275"/>
    <mergeCell ref="D276:E276"/>
    <mergeCell ref="E277:F277"/>
    <mergeCell ref="D278:E278"/>
    <mergeCell ref="E279:F279"/>
    <mergeCell ref="D280:E280"/>
    <mergeCell ref="E263:F263"/>
    <mergeCell ref="D264:E264"/>
    <mergeCell ref="E265:F265"/>
    <mergeCell ref="D266:E266"/>
    <mergeCell ref="E267:F267"/>
    <mergeCell ref="D268:E268"/>
    <mergeCell ref="E269:F269"/>
    <mergeCell ref="D270:E270"/>
    <mergeCell ref="E271:F271"/>
    <mergeCell ref="E254:F254"/>
    <mergeCell ref="D255:E255"/>
    <mergeCell ref="E256:F256"/>
    <mergeCell ref="D257:E257"/>
    <mergeCell ref="E258:F258"/>
    <mergeCell ref="E259:F259"/>
    <mergeCell ref="E260:F260"/>
    <mergeCell ref="E261:F261"/>
    <mergeCell ref="D262:E262"/>
    <mergeCell ref="E245:F245"/>
    <mergeCell ref="E246:F246"/>
    <mergeCell ref="D247:E247"/>
    <mergeCell ref="E248:F248"/>
    <mergeCell ref="D249:E249"/>
    <mergeCell ref="E250:F250"/>
    <mergeCell ref="D251:E251"/>
    <mergeCell ref="E252:F252"/>
    <mergeCell ref="D253:E253"/>
    <mergeCell ref="D236:E236"/>
    <mergeCell ref="E237:F237"/>
    <mergeCell ref="D238:E238"/>
    <mergeCell ref="E239:F239"/>
    <mergeCell ref="D240:E240"/>
    <mergeCell ref="E241:F241"/>
    <mergeCell ref="D242:E242"/>
    <mergeCell ref="E243:F243"/>
    <mergeCell ref="D244:E244"/>
    <mergeCell ref="E227:F227"/>
    <mergeCell ref="E228:F228"/>
    <mergeCell ref="E229:F229"/>
    <mergeCell ref="D230:E230"/>
    <mergeCell ref="E231:F231"/>
    <mergeCell ref="D232:E232"/>
    <mergeCell ref="E233:F233"/>
    <mergeCell ref="E234:F234"/>
    <mergeCell ref="E235:F235"/>
    <mergeCell ref="E218:F218"/>
    <mergeCell ref="E219:F219"/>
    <mergeCell ref="E220:F220"/>
    <mergeCell ref="D221:E221"/>
    <mergeCell ref="E222:F222"/>
    <mergeCell ref="D223:E223"/>
    <mergeCell ref="E224:F224"/>
    <mergeCell ref="E225:F225"/>
    <mergeCell ref="D226:E226"/>
    <mergeCell ref="E209:F209"/>
    <mergeCell ref="D210:E210"/>
    <mergeCell ref="E211:F211"/>
    <mergeCell ref="D212:E212"/>
    <mergeCell ref="E213:F213"/>
    <mergeCell ref="D214:E214"/>
    <mergeCell ref="E215:F215"/>
    <mergeCell ref="E216:F216"/>
    <mergeCell ref="E217:F217"/>
    <mergeCell ref="D200:E200"/>
    <mergeCell ref="E201:F201"/>
    <mergeCell ref="D202:E202"/>
    <mergeCell ref="E203:F203"/>
    <mergeCell ref="D204:E204"/>
    <mergeCell ref="E205:F205"/>
    <mergeCell ref="D206:E206"/>
    <mergeCell ref="E207:F207"/>
    <mergeCell ref="D208:E208"/>
    <mergeCell ref="E191:F191"/>
    <mergeCell ref="E192:F192"/>
    <mergeCell ref="E193:F193"/>
    <mergeCell ref="E194:F194"/>
    <mergeCell ref="E195:F195"/>
    <mergeCell ref="D196:E196"/>
    <mergeCell ref="E197:F197"/>
    <mergeCell ref="D198:E198"/>
    <mergeCell ref="E199:F199"/>
    <mergeCell ref="D182:E182"/>
    <mergeCell ref="E183:F183"/>
    <mergeCell ref="D184:E184"/>
    <mergeCell ref="E185:F185"/>
    <mergeCell ref="D186:E186"/>
    <mergeCell ref="E187:F187"/>
    <mergeCell ref="D188:E188"/>
    <mergeCell ref="E189:F189"/>
    <mergeCell ref="D190:E190"/>
    <mergeCell ref="E173:F173"/>
    <mergeCell ref="E174:F174"/>
    <mergeCell ref="E175:F175"/>
    <mergeCell ref="D176:E176"/>
    <mergeCell ref="E177:F177"/>
    <mergeCell ref="D178:E178"/>
    <mergeCell ref="E179:F179"/>
    <mergeCell ref="D180:E180"/>
    <mergeCell ref="E181:F181"/>
    <mergeCell ref="E164:F164"/>
    <mergeCell ref="D165:E165"/>
    <mergeCell ref="E166:F166"/>
    <mergeCell ref="E167:F167"/>
    <mergeCell ref="E168:F168"/>
    <mergeCell ref="E169:F169"/>
    <mergeCell ref="E170:F170"/>
    <mergeCell ref="E171:F171"/>
    <mergeCell ref="D172:E172"/>
    <mergeCell ref="D155:E155"/>
    <mergeCell ref="E156:F156"/>
    <mergeCell ref="E157:F157"/>
    <mergeCell ref="D158:E158"/>
    <mergeCell ref="E159:F159"/>
    <mergeCell ref="D160:E160"/>
    <mergeCell ref="E161:F161"/>
    <mergeCell ref="D162:E162"/>
    <mergeCell ref="E163:F163"/>
    <mergeCell ref="E146:F146"/>
    <mergeCell ref="D147:E147"/>
    <mergeCell ref="E148:F148"/>
    <mergeCell ref="D149:E149"/>
    <mergeCell ref="E150:F150"/>
    <mergeCell ref="D151:E151"/>
    <mergeCell ref="E152:F152"/>
    <mergeCell ref="D153:E153"/>
    <mergeCell ref="E154:F154"/>
    <mergeCell ref="D137:E137"/>
    <mergeCell ref="E138:F138"/>
    <mergeCell ref="D139:E139"/>
    <mergeCell ref="E140:F140"/>
    <mergeCell ref="D141:E141"/>
    <mergeCell ref="E142:F142"/>
    <mergeCell ref="D143:E143"/>
    <mergeCell ref="E144:F144"/>
    <mergeCell ref="D145:E145"/>
    <mergeCell ref="D128:E128"/>
    <mergeCell ref="E129:F129"/>
    <mergeCell ref="E130:F130"/>
    <mergeCell ref="D131:E131"/>
    <mergeCell ref="E132:F132"/>
    <mergeCell ref="D133:E133"/>
    <mergeCell ref="E134:F134"/>
    <mergeCell ref="D135:E135"/>
    <mergeCell ref="E136:F136"/>
    <mergeCell ref="D119:E119"/>
    <mergeCell ref="E120:F120"/>
    <mergeCell ref="D121:E121"/>
    <mergeCell ref="E122:F122"/>
    <mergeCell ref="D123:E123"/>
    <mergeCell ref="E124:F124"/>
    <mergeCell ref="D125:E125"/>
    <mergeCell ref="E126:F126"/>
    <mergeCell ref="E127:F127"/>
    <mergeCell ref="E110:F110"/>
    <mergeCell ref="D111:E111"/>
    <mergeCell ref="E112:F112"/>
    <mergeCell ref="D113:E113"/>
    <mergeCell ref="E114:F114"/>
    <mergeCell ref="D115:E115"/>
    <mergeCell ref="E116:F116"/>
    <mergeCell ref="D117:E117"/>
    <mergeCell ref="E118:F118"/>
    <mergeCell ref="D101:E101"/>
    <mergeCell ref="E102:F102"/>
    <mergeCell ref="D103:E103"/>
    <mergeCell ref="E104:F104"/>
    <mergeCell ref="D105:E105"/>
    <mergeCell ref="E106:F106"/>
    <mergeCell ref="D107:E107"/>
    <mergeCell ref="E108:F108"/>
    <mergeCell ref="D109:E109"/>
    <mergeCell ref="E92:F92"/>
    <mergeCell ref="D93:E93"/>
    <mergeCell ref="E94:F94"/>
    <mergeCell ref="D95:E95"/>
    <mergeCell ref="E96:F96"/>
    <mergeCell ref="D97:E97"/>
    <mergeCell ref="E98:F98"/>
    <mergeCell ref="D99:E99"/>
    <mergeCell ref="E100:F100"/>
    <mergeCell ref="D83:E83"/>
    <mergeCell ref="E84:F84"/>
    <mergeCell ref="D85:E85"/>
    <mergeCell ref="E86:F86"/>
    <mergeCell ref="D87:E87"/>
    <mergeCell ref="E88:F88"/>
    <mergeCell ref="D89:E89"/>
    <mergeCell ref="E90:F90"/>
    <mergeCell ref="D91:E91"/>
    <mergeCell ref="E74:F74"/>
    <mergeCell ref="D75:E75"/>
    <mergeCell ref="E76:F76"/>
    <mergeCell ref="D77:E77"/>
    <mergeCell ref="E78:F78"/>
    <mergeCell ref="D79:E79"/>
    <mergeCell ref="E80:F80"/>
    <mergeCell ref="D81:E81"/>
    <mergeCell ref="E82:F82"/>
    <mergeCell ref="D65:E65"/>
    <mergeCell ref="E66:F66"/>
    <mergeCell ref="D67:E67"/>
    <mergeCell ref="E68:F68"/>
    <mergeCell ref="D69:E69"/>
    <mergeCell ref="E70:F70"/>
    <mergeCell ref="D71:E71"/>
    <mergeCell ref="E72:F72"/>
    <mergeCell ref="D73:E73"/>
    <mergeCell ref="E56:F56"/>
    <mergeCell ref="D57:E57"/>
    <mergeCell ref="E58:F58"/>
    <mergeCell ref="D59:E59"/>
    <mergeCell ref="E60:F60"/>
    <mergeCell ref="D61:E61"/>
    <mergeCell ref="E62:F62"/>
    <mergeCell ref="D63:E63"/>
    <mergeCell ref="E64:F64"/>
    <mergeCell ref="D47:E47"/>
    <mergeCell ref="E48:F48"/>
    <mergeCell ref="D49:E49"/>
    <mergeCell ref="E50:F50"/>
    <mergeCell ref="D51:E51"/>
    <mergeCell ref="E52:F52"/>
    <mergeCell ref="D53:E53"/>
    <mergeCell ref="E54:F54"/>
    <mergeCell ref="D55:E55"/>
    <mergeCell ref="D38:E38"/>
    <mergeCell ref="D39:E39"/>
    <mergeCell ref="E40:F40"/>
    <mergeCell ref="D41:E41"/>
    <mergeCell ref="E42:F42"/>
    <mergeCell ref="D43:E43"/>
    <mergeCell ref="E44:F44"/>
    <mergeCell ref="D45:E45"/>
    <mergeCell ref="E46:F46"/>
    <mergeCell ref="D29:E29"/>
    <mergeCell ref="D30:E30"/>
    <mergeCell ref="D31:E31"/>
    <mergeCell ref="D32:E32"/>
    <mergeCell ref="D33:E33"/>
    <mergeCell ref="D34:E34"/>
    <mergeCell ref="D35:E35"/>
    <mergeCell ref="D36:E36"/>
    <mergeCell ref="D37:E37"/>
    <mergeCell ref="D20:E20"/>
    <mergeCell ref="D21:E21"/>
    <mergeCell ref="D22:E22"/>
    <mergeCell ref="D23:E23"/>
    <mergeCell ref="D24:E24"/>
    <mergeCell ref="D25:E25"/>
    <mergeCell ref="D26:E26"/>
    <mergeCell ref="D27:E27"/>
    <mergeCell ref="D28:E28"/>
    <mergeCell ref="D11:E11"/>
    <mergeCell ref="D12:E12"/>
    <mergeCell ref="D13:E13"/>
    <mergeCell ref="D14:E14"/>
    <mergeCell ref="D15:E15"/>
    <mergeCell ref="D16:E16"/>
    <mergeCell ref="D17:E17"/>
    <mergeCell ref="D18:E18"/>
    <mergeCell ref="D19:E19"/>
    <mergeCell ref="A6:B7"/>
    <mergeCell ref="C6:D7"/>
    <mergeCell ref="E6:E7"/>
    <mergeCell ref="F6:H7"/>
    <mergeCell ref="A8:B9"/>
    <mergeCell ref="C8:D9"/>
    <mergeCell ref="E8:E9"/>
    <mergeCell ref="F8:H9"/>
    <mergeCell ref="D10:E10"/>
    <mergeCell ref="A1:H1"/>
    <mergeCell ref="A2:B3"/>
    <mergeCell ref="C2:D3"/>
    <mergeCell ref="E2:E3"/>
    <mergeCell ref="F2:H3"/>
    <mergeCell ref="A4:B5"/>
    <mergeCell ref="C4:D5"/>
    <mergeCell ref="E4:E5"/>
    <mergeCell ref="F4:H5"/>
  </mergeCells>
  <pageMargins left="0.39374999999999999" right="0.39374999999999999" top="0.59097222222222201" bottom="0.59097222222222201" header="0.511811023622047" footer="0.511811023622047"/>
  <pageSetup fitToHeight="0"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808080"/>
    <pageSetUpPr fitToPage="1"/>
  </sheetPr>
  <dimension ref="A1:IT205"/>
  <sheetViews>
    <sheetView zoomScaleNormal="100" workbookViewId="0">
      <selection activeCell="H165" sqref="H165"/>
    </sheetView>
  </sheetViews>
  <sheetFormatPr defaultColWidth="12.109375" defaultRowHeight="14.4" x14ac:dyDescent="0.3"/>
  <cols>
    <col min="1" max="1" width="4.33203125" style="22" customWidth="1"/>
    <col min="2" max="2" width="17.109375" style="22" customWidth="1"/>
    <col min="3" max="3" width="35.109375" style="22" customWidth="1"/>
    <col min="4" max="5" width="11.44140625" style="22" customWidth="1"/>
    <col min="6" max="6" width="24.44140625" style="22" customWidth="1"/>
    <col min="7" max="7" width="5.5546875" style="22" customWidth="1"/>
    <col min="8" max="8" width="12.88671875" style="22" customWidth="1"/>
    <col min="9" max="9" width="37.88671875" style="22" customWidth="1"/>
    <col min="230" max="231" width="12.109375" style="22" hidden="1"/>
    <col min="251" max="254" width="12.109375" style="22" hidden="1"/>
  </cols>
  <sheetData>
    <row r="1" spans="1:253" x14ac:dyDescent="0.3">
      <c r="A1" s="139" t="s">
        <v>122</v>
      </c>
      <c r="B1" s="139" t="s">
        <v>123</v>
      </c>
      <c r="C1" s="208" t="s">
        <v>100</v>
      </c>
      <c r="D1" s="208"/>
      <c r="E1" s="208"/>
      <c r="F1" s="139" t="s">
        <v>876</v>
      </c>
      <c r="G1" s="139" t="s">
        <v>124</v>
      </c>
      <c r="H1" s="139" t="s">
        <v>125</v>
      </c>
      <c r="I1" s="48" t="s">
        <v>877</v>
      </c>
      <c r="HV1" s="140" t="s">
        <v>130</v>
      </c>
      <c r="HW1" s="140" t="s">
        <v>129</v>
      </c>
    </row>
    <row r="2" spans="1:253" ht="15" customHeight="1" x14ac:dyDescent="0.3">
      <c r="A2" s="89" t="s">
        <v>96</v>
      </c>
      <c r="B2" s="89"/>
      <c r="C2" s="198" t="s">
        <v>104</v>
      </c>
      <c r="D2" s="198"/>
      <c r="E2" s="198"/>
      <c r="F2" s="89" t="s">
        <v>96</v>
      </c>
      <c r="G2" s="89" t="s">
        <v>96</v>
      </c>
      <c r="H2" s="92" t="s">
        <v>96</v>
      </c>
      <c r="I2" s="89" t="s">
        <v>96</v>
      </c>
    </row>
    <row r="3" spans="1:253" ht="15" customHeight="1" x14ac:dyDescent="0.3">
      <c r="A3" s="89" t="s">
        <v>96</v>
      </c>
      <c r="B3" s="89" t="s">
        <v>150</v>
      </c>
      <c r="C3" s="198" t="s">
        <v>151</v>
      </c>
      <c r="D3" s="198"/>
      <c r="E3" s="198"/>
      <c r="F3" s="89" t="s">
        <v>96</v>
      </c>
      <c r="G3" s="89" t="s">
        <v>96</v>
      </c>
      <c r="H3" s="92" t="s">
        <v>96</v>
      </c>
      <c r="I3" s="89" t="s">
        <v>96</v>
      </c>
    </row>
    <row r="4" spans="1:253" ht="15" customHeight="1" x14ac:dyDescent="0.3">
      <c r="A4" s="141">
        <v>1</v>
      </c>
      <c r="B4" s="94" t="s">
        <v>153</v>
      </c>
      <c r="C4" s="199" t="s">
        <v>154</v>
      </c>
      <c r="D4" s="199"/>
      <c r="E4" s="199"/>
      <c r="F4" s="95" t="s">
        <v>878</v>
      </c>
      <c r="G4" s="94" t="s">
        <v>155</v>
      </c>
      <c r="H4" s="97">
        <v>162</v>
      </c>
      <c r="I4" s="95"/>
      <c r="HV4" s="18" t="s">
        <v>150</v>
      </c>
      <c r="HW4" s="18" t="s">
        <v>161</v>
      </c>
      <c r="IR4" s="142">
        <f>33.29*0</f>
        <v>0</v>
      </c>
      <c r="IS4" s="142">
        <f>33.29*(1-0)</f>
        <v>33.29</v>
      </c>
    </row>
    <row r="5" spans="1:253" ht="15" customHeight="1" x14ac:dyDescent="0.3">
      <c r="A5" s="141">
        <v>2</v>
      </c>
      <c r="B5" s="94" t="s">
        <v>163</v>
      </c>
      <c r="C5" s="199" t="s">
        <v>164</v>
      </c>
      <c r="D5" s="199"/>
      <c r="E5" s="199"/>
      <c r="F5" s="95" t="s">
        <v>878</v>
      </c>
      <c r="G5" s="94" t="s">
        <v>155</v>
      </c>
      <c r="H5" s="97">
        <v>162</v>
      </c>
      <c r="I5" s="95"/>
      <c r="HV5" s="18" t="s">
        <v>150</v>
      </c>
      <c r="HW5" s="18" t="s">
        <v>161</v>
      </c>
      <c r="IR5" s="142">
        <f>36*0</f>
        <v>0</v>
      </c>
      <c r="IS5" s="142">
        <f>36*(1-0)</f>
        <v>36</v>
      </c>
    </row>
    <row r="6" spans="1:253" ht="15" customHeight="1" x14ac:dyDescent="0.3">
      <c r="A6" s="89" t="s">
        <v>96</v>
      </c>
      <c r="B6" s="89" t="s">
        <v>165</v>
      </c>
      <c r="C6" s="198" t="s">
        <v>166</v>
      </c>
      <c r="D6" s="198"/>
      <c r="E6" s="198"/>
      <c r="F6" s="89" t="s">
        <v>96</v>
      </c>
      <c r="G6" s="89" t="s">
        <v>96</v>
      </c>
      <c r="H6" s="92" t="s">
        <v>96</v>
      </c>
      <c r="I6" s="89" t="s">
        <v>96</v>
      </c>
    </row>
    <row r="7" spans="1:253" ht="15" customHeight="1" x14ac:dyDescent="0.3">
      <c r="A7" s="141">
        <v>3</v>
      </c>
      <c r="B7" s="94" t="s">
        <v>168</v>
      </c>
      <c r="C7" s="199" t="s">
        <v>169</v>
      </c>
      <c r="D7" s="199"/>
      <c r="E7" s="199"/>
      <c r="F7" s="95"/>
      <c r="G7" s="94" t="s">
        <v>155</v>
      </c>
      <c r="H7" s="97">
        <v>162</v>
      </c>
      <c r="I7" s="95"/>
      <c r="HV7" s="18" t="s">
        <v>165</v>
      </c>
      <c r="HW7" s="18" t="s">
        <v>161</v>
      </c>
      <c r="IR7" s="142">
        <f>128.5*0</f>
        <v>0</v>
      </c>
      <c r="IS7" s="142">
        <f>128.5*(1-0)</f>
        <v>128.5</v>
      </c>
    </row>
    <row r="8" spans="1:253" ht="15" customHeight="1" x14ac:dyDescent="0.3">
      <c r="A8" s="89" t="s">
        <v>96</v>
      </c>
      <c r="B8" s="89" t="s">
        <v>171</v>
      </c>
      <c r="C8" s="198" t="s">
        <v>172</v>
      </c>
      <c r="D8" s="198"/>
      <c r="E8" s="198"/>
      <c r="F8" s="89" t="s">
        <v>96</v>
      </c>
      <c r="G8" s="89" t="s">
        <v>96</v>
      </c>
      <c r="H8" s="92" t="s">
        <v>96</v>
      </c>
      <c r="I8" s="89" t="s">
        <v>96</v>
      </c>
    </row>
    <row r="9" spans="1:253" ht="15" customHeight="1" x14ac:dyDescent="0.3">
      <c r="A9" s="141">
        <v>4</v>
      </c>
      <c r="B9" s="94" t="s">
        <v>174</v>
      </c>
      <c r="C9" s="199" t="s">
        <v>175</v>
      </c>
      <c r="D9" s="199"/>
      <c r="E9" s="199"/>
      <c r="F9" s="95"/>
      <c r="G9" s="94" t="s">
        <v>176</v>
      </c>
      <c r="H9" s="97">
        <v>20</v>
      </c>
      <c r="I9" s="95"/>
      <c r="HV9" s="18" t="s">
        <v>171</v>
      </c>
      <c r="HW9" s="18" t="s">
        <v>161</v>
      </c>
      <c r="IR9" s="142">
        <f>229.01*0</f>
        <v>0</v>
      </c>
      <c r="IS9" s="142">
        <f>229.01*(1-0)</f>
        <v>229.01</v>
      </c>
    </row>
    <row r="10" spans="1:253" ht="15" customHeight="1" x14ac:dyDescent="0.3">
      <c r="A10" s="141">
        <v>5</v>
      </c>
      <c r="B10" s="94" t="s">
        <v>180</v>
      </c>
      <c r="C10" s="199" t="s">
        <v>181</v>
      </c>
      <c r="D10" s="199"/>
      <c r="E10" s="199"/>
      <c r="F10" s="95"/>
      <c r="G10" s="94" t="s">
        <v>176</v>
      </c>
      <c r="H10" s="97">
        <v>25</v>
      </c>
      <c r="I10" s="95"/>
      <c r="HV10" s="18" t="s">
        <v>171</v>
      </c>
      <c r="HW10" s="18" t="s">
        <v>161</v>
      </c>
      <c r="IR10" s="142">
        <f>46.01*0</f>
        <v>0</v>
      </c>
      <c r="IS10" s="142">
        <f>46.01*(1-0)</f>
        <v>46.01</v>
      </c>
    </row>
    <row r="11" spans="1:253" ht="15" customHeight="1" x14ac:dyDescent="0.3">
      <c r="A11" s="141">
        <v>6</v>
      </c>
      <c r="B11" s="94" t="s">
        <v>183</v>
      </c>
      <c r="C11" s="199" t="s">
        <v>184</v>
      </c>
      <c r="D11" s="199"/>
      <c r="E11" s="199"/>
      <c r="F11" s="95"/>
      <c r="G11" s="94" t="s">
        <v>176</v>
      </c>
      <c r="H11" s="97">
        <v>25</v>
      </c>
      <c r="I11" s="95"/>
      <c r="HV11" s="18" t="s">
        <v>171</v>
      </c>
      <c r="HW11" s="18" t="s">
        <v>161</v>
      </c>
      <c r="IR11" s="142">
        <f>17.2*0</f>
        <v>0</v>
      </c>
      <c r="IS11" s="142">
        <f>17.2*(1-0)</f>
        <v>17.2</v>
      </c>
    </row>
    <row r="12" spans="1:253" ht="15" customHeight="1" x14ac:dyDescent="0.3">
      <c r="A12" s="89" t="s">
        <v>96</v>
      </c>
      <c r="B12" s="89" t="s">
        <v>185</v>
      </c>
      <c r="C12" s="198" t="s">
        <v>186</v>
      </c>
      <c r="D12" s="198"/>
      <c r="E12" s="198"/>
      <c r="F12" s="89" t="s">
        <v>96</v>
      </c>
      <c r="G12" s="89" t="s">
        <v>96</v>
      </c>
      <c r="H12" s="92" t="s">
        <v>96</v>
      </c>
      <c r="I12" s="89" t="s">
        <v>96</v>
      </c>
    </row>
    <row r="13" spans="1:253" ht="15" customHeight="1" x14ac:dyDescent="0.3">
      <c r="A13" s="141">
        <v>7</v>
      </c>
      <c r="B13" s="94" t="s">
        <v>187</v>
      </c>
      <c r="C13" s="199" t="s">
        <v>188</v>
      </c>
      <c r="D13" s="199"/>
      <c r="E13" s="199"/>
      <c r="F13" s="95"/>
      <c r="G13" s="94" t="s">
        <v>176</v>
      </c>
      <c r="H13" s="97">
        <v>20</v>
      </c>
      <c r="I13" s="95"/>
      <c r="HV13" s="18" t="s">
        <v>185</v>
      </c>
      <c r="HW13" s="18" t="s">
        <v>161</v>
      </c>
      <c r="IR13" s="142">
        <f>113.01*0</f>
        <v>0</v>
      </c>
      <c r="IS13" s="142">
        <f>113.01*(1-0)</f>
        <v>113.01</v>
      </c>
    </row>
    <row r="14" spans="1:253" ht="15" customHeight="1" x14ac:dyDescent="0.3">
      <c r="A14" s="141">
        <v>8</v>
      </c>
      <c r="B14" s="94" t="s">
        <v>191</v>
      </c>
      <c r="C14" s="199" t="s">
        <v>192</v>
      </c>
      <c r="D14" s="199"/>
      <c r="E14" s="199"/>
      <c r="F14" s="95"/>
      <c r="G14" s="94" t="s">
        <v>176</v>
      </c>
      <c r="H14" s="97">
        <v>65</v>
      </c>
      <c r="I14" s="95"/>
      <c r="HV14" s="18" t="s">
        <v>185</v>
      </c>
      <c r="HW14" s="18" t="s">
        <v>161</v>
      </c>
      <c r="IR14" s="142">
        <f>95.81*0</f>
        <v>0</v>
      </c>
      <c r="IS14" s="142">
        <f>95.81*(1-0)</f>
        <v>95.81</v>
      </c>
    </row>
    <row r="15" spans="1:253" ht="15" customHeight="1" x14ac:dyDescent="0.3">
      <c r="A15" s="89" t="s">
        <v>96</v>
      </c>
      <c r="B15" s="89" t="s">
        <v>193</v>
      </c>
      <c r="C15" s="198" t="s">
        <v>194</v>
      </c>
      <c r="D15" s="198"/>
      <c r="E15" s="198"/>
      <c r="F15" s="89" t="s">
        <v>96</v>
      </c>
      <c r="G15" s="89" t="s">
        <v>96</v>
      </c>
      <c r="H15" s="92" t="s">
        <v>96</v>
      </c>
      <c r="I15" s="89" t="s">
        <v>96</v>
      </c>
    </row>
    <row r="16" spans="1:253" ht="15" customHeight="1" x14ac:dyDescent="0.3">
      <c r="A16" s="141">
        <v>9</v>
      </c>
      <c r="B16" s="94" t="s">
        <v>196</v>
      </c>
      <c r="C16" s="199" t="s">
        <v>197</v>
      </c>
      <c r="D16" s="199"/>
      <c r="E16" s="199"/>
      <c r="F16" s="95"/>
      <c r="G16" s="94" t="s">
        <v>198</v>
      </c>
      <c r="H16" s="97">
        <v>4</v>
      </c>
      <c r="I16" s="95"/>
      <c r="HV16" s="18" t="s">
        <v>193</v>
      </c>
      <c r="HW16" s="18" t="s">
        <v>161</v>
      </c>
      <c r="IR16" s="142">
        <f>637*0</f>
        <v>0</v>
      </c>
      <c r="IS16" s="142">
        <f>637*(1-0)</f>
        <v>637</v>
      </c>
    </row>
    <row r="17" spans="1:253" ht="15" customHeight="1" x14ac:dyDescent="0.3">
      <c r="A17" s="141">
        <v>10</v>
      </c>
      <c r="B17" s="94" t="s">
        <v>201</v>
      </c>
      <c r="C17" s="199" t="s">
        <v>202</v>
      </c>
      <c r="D17" s="199"/>
      <c r="E17" s="199"/>
      <c r="F17" s="95"/>
      <c r="G17" s="94" t="s">
        <v>198</v>
      </c>
      <c r="H17" s="97">
        <v>5</v>
      </c>
      <c r="I17" s="95"/>
      <c r="HV17" s="18" t="s">
        <v>193</v>
      </c>
      <c r="HW17" s="18" t="s">
        <v>161</v>
      </c>
      <c r="IR17" s="142">
        <f>257.5*0</f>
        <v>0</v>
      </c>
      <c r="IS17" s="142">
        <f>257.5*(1-0)</f>
        <v>257.5</v>
      </c>
    </row>
    <row r="18" spans="1:253" ht="15" customHeight="1" x14ac:dyDescent="0.3">
      <c r="A18" s="141">
        <v>11</v>
      </c>
      <c r="B18" s="94" t="s">
        <v>204</v>
      </c>
      <c r="C18" s="199" t="s">
        <v>205</v>
      </c>
      <c r="D18" s="199"/>
      <c r="E18" s="199"/>
      <c r="F18" s="95"/>
      <c r="G18" s="94" t="s">
        <v>198</v>
      </c>
      <c r="H18" s="97">
        <v>1</v>
      </c>
      <c r="I18" s="95"/>
      <c r="HV18" s="18" t="s">
        <v>193</v>
      </c>
      <c r="HW18" s="18" t="s">
        <v>161</v>
      </c>
      <c r="IR18" s="142">
        <f>212.51*0</f>
        <v>0</v>
      </c>
      <c r="IS18" s="142">
        <f>212.51*(1-0)</f>
        <v>212.51</v>
      </c>
    </row>
    <row r="19" spans="1:253" ht="15" customHeight="1" x14ac:dyDescent="0.3">
      <c r="A19" s="141">
        <v>12</v>
      </c>
      <c r="B19" s="94" t="s">
        <v>207</v>
      </c>
      <c r="C19" s="199" t="s">
        <v>208</v>
      </c>
      <c r="D19" s="199"/>
      <c r="E19" s="199"/>
      <c r="F19" s="95"/>
      <c r="G19" s="94" t="s">
        <v>198</v>
      </c>
      <c r="H19" s="97">
        <v>2</v>
      </c>
      <c r="I19" s="95"/>
      <c r="HV19" s="18" t="s">
        <v>193</v>
      </c>
      <c r="HW19" s="18" t="s">
        <v>161</v>
      </c>
      <c r="IR19" s="142">
        <f>200.5*0</f>
        <v>0</v>
      </c>
      <c r="IS19" s="142">
        <f>200.5*(1-0)</f>
        <v>200.5</v>
      </c>
    </row>
    <row r="20" spans="1:253" ht="15" customHeight="1" x14ac:dyDescent="0.3">
      <c r="A20" s="141">
        <v>13</v>
      </c>
      <c r="B20" s="94" t="s">
        <v>210</v>
      </c>
      <c r="C20" s="199" t="s">
        <v>211</v>
      </c>
      <c r="D20" s="199"/>
      <c r="E20" s="199"/>
      <c r="F20" s="95"/>
      <c r="G20" s="94" t="s">
        <v>212</v>
      </c>
      <c r="H20" s="97">
        <v>5</v>
      </c>
      <c r="I20" s="95"/>
      <c r="HV20" s="18" t="s">
        <v>193</v>
      </c>
      <c r="HW20" s="18" t="s">
        <v>161</v>
      </c>
      <c r="IR20" s="142">
        <f>504*0</f>
        <v>0</v>
      </c>
      <c r="IS20" s="142">
        <f>504*(1-0)</f>
        <v>504</v>
      </c>
    </row>
    <row r="21" spans="1:253" ht="15" customHeight="1" x14ac:dyDescent="0.3">
      <c r="A21" s="141">
        <v>14</v>
      </c>
      <c r="B21" s="94" t="s">
        <v>214</v>
      </c>
      <c r="C21" s="199" t="s">
        <v>215</v>
      </c>
      <c r="D21" s="199"/>
      <c r="E21" s="199"/>
      <c r="F21" s="95"/>
      <c r="G21" s="94" t="s">
        <v>198</v>
      </c>
      <c r="H21" s="97">
        <v>1</v>
      </c>
      <c r="I21" s="95"/>
      <c r="HV21" s="18" t="s">
        <v>193</v>
      </c>
      <c r="HW21" s="18" t="s">
        <v>161</v>
      </c>
      <c r="IR21" s="142">
        <f>384.01*0</f>
        <v>0</v>
      </c>
      <c r="IS21" s="142">
        <f>384.01*(1-0)</f>
        <v>384.01</v>
      </c>
    </row>
    <row r="22" spans="1:253" ht="15" customHeight="1" x14ac:dyDescent="0.3">
      <c r="A22" s="89" t="s">
        <v>96</v>
      </c>
      <c r="B22" s="89" t="s">
        <v>216</v>
      </c>
      <c r="C22" s="198" t="s">
        <v>217</v>
      </c>
      <c r="D22" s="198"/>
      <c r="E22" s="198"/>
      <c r="F22" s="89" t="s">
        <v>96</v>
      </c>
      <c r="G22" s="89" t="s">
        <v>96</v>
      </c>
      <c r="H22" s="92" t="s">
        <v>96</v>
      </c>
      <c r="I22" s="89" t="s">
        <v>96</v>
      </c>
    </row>
    <row r="23" spans="1:253" ht="15" customHeight="1" x14ac:dyDescent="0.3">
      <c r="A23" s="141">
        <v>15</v>
      </c>
      <c r="B23" s="94" t="s">
        <v>219</v>
      </c>
      <c r="C23" s="199" t="s">
        <v>220</v>
      </c>
      <c r="D23" s="199"/>
      <c r="E23" s="199"/>
      <c r="F23" s="95"/>
      <c r="G23" s="94" t="s">
        <v>176</v>
      </c>
      <c r="H23" s="97">
        <v>85</v>
      </c>
      <c r="I23" s="95"/>
      <c r="HV23" s="18" t="s">
        <v>216</v>
      </c>
      <c r="HW23" s="18" t="s">
        <v>161</v>
      </c>
      <c r="IR23" s="142">
        <f>66.71*0.199520312</f>
        <v>13.31000001352</v>
      </c>
      <c r="IS23" s="142">
        <f>66.71*(1-0.199520312)</f>
        <v>53.399999986479997</v>
      </c>
    </row>
    <row r="24" spans="1:253" ht="15" customHeight="1" x14ac:dyDescent="0.3">
      <c r="A24" s="141">
        <v>16</v>
      </c>
      <c r="B24" s="94" t="s">
        <v>224</v>
      </c>
      <c r="C24" s="199" t="s">
        <v>225</v>
      </c>
      <c r="D24" s="199"/>
      <c r="E24" s="199"/>
      <c r="F24" s="95"/>
      <c r="G24" s="94" t="s">
        <v>176</v>
      </c>
      <c r="H24" s="97">
        <v>20</v>
      </c>
      <c r="I24" s="95"/>
      <c r="HV24" s="18" t="s">
        <v>216</v>
      </c>
      <c r="HW24" s="18" t="s">
        <v>161</v>
      </c>
      <c r="IR24" s="142">
        <f>95.8*0.161482255</f>
        <v>15.470000028999999</v>
      </c>
      <c r="IS24" s="142">
        <f>95.8*(1-0.161482255)</f>
        <v>80.329999970999992</v>
      </c>
    </row>
    <row r="25" spans="1:253" ht="15" customHeight="1" x14ac:dyDescent="0.3">
      <c r="A25" s="89" t="s">
        <v>96</v>
      </c>
      <c r="B25" s="89" t="s">
        <v>226</v>
      </c>
      <c r="C25" s="198" t="s">
        <v>227</v>
      </c>
      <c r="D25" s="198"/>
      <c r="E25" s="198"/>
      <c r="F25" s="89" t="s">
        <v>96</v>
      </c>
      <c r="G25" s="89" t="s">
        <v>96</v>
      </c>
      <c r="H25" s="92" t="s">
        <v>96</v>
      </c>
      <c r="I25" s="89" t="s">
        <v>96</v>
      </c>
    </row>
    <row r="26" spans="1:253" ht="15" customHeight="1" x14ac:dyDescent="0.3">
      <c r="A26" s="141">
        <v>17</v>
      </c>
      <c r="B26" s="94" t="s">
        <v>229</v>
      </c>
      <c r="C26" s="199" t="s">
        <v>230</v>
      </c>
      <c r="D26" s="199"/>
      <c r="E26" s="199"/>
      <c r="F26" s="95"/>
      <c r="G26" s="94" t="s">
        <v>155</v>
      </c>
      <c r="H26" s="97">
        <v>18</v>
      </c>
      <c r="I26" s="95"/>
      <c r="HV26" s="18" t="s">
        <v>226</v>
      </c>
      <c r="HW26" s="18" t="s">
        <v>161</v>
      </c>
      <c r="IR26" s="142">
        <f>52.7*0</f>
        <v>0</v>
      </c>
      <c r="IS26" s="142">
        <f>52.7*(1-0)</f>
        <v>52.7</v>
      </c>
    </row>
    <row r="27" spans="1:253" ht="15" customHeight="1" x14ac:dyDescent="0.3">
      <c r="A27" s="89" t="s">
        <v>96</v>
      </c>
      <c r="B27" s="89" t="s">
        <v>232</v>
      </c>
      <c r="C27" s="198" t="s">
        <v>233</v>
      </c>
      <c r="D27" s="198"/>
      <c r="E27" s="198"/>
      <c r="F27" s="89" t="s">
        <v>96</v>
      </c>
      <c r="G27" s="89" t="s">
        <v>96</v>
      </c>
      <c r="H27" s="92" t="s">
        <v>96</v>
      </c>
      <c r="I27" s="89" t="s">
        <v>96</v>
      </c>
    </row>
    <row r="28" spans="1:253" ht="58.35" customHeight="1" x14ac:dyDescent="0.3">
      <c r="A28" s="141">
        <v>18</v>
      </c>
      <c r="B28" s="94" t="s">
        <v>235</v>
      </c>
      <c r="C28" s="199" t="s">
        <v>236</v>
      </c>
      <c r="D28" s="199"/>
      <c r="E28" s="199"/>
      <c r="F28" s="95"/>
      <c r="G28" s="94" t="s">
        <v>155</v>
      </c>
      <c r="H28" s="97">
        <v>47.04</v>
      </c>
      <c r="I28" s="95" t="s">
        <v>879</v>
      </c>
      <c r="HV28" s="18" t="s">
        <v>232</v>
      </c>
      <c r="HW28" s="18" t="s">
        <v>161</v>
      </c>
      <c r="IR28" s="142">
        <f>343.49*0.040961891</f>
        <v>14.06999993959</v>
      </c>
      <c r="IS28" s="142">
        <f>343.49*(1-0.040961891)</f>
        <v>329.42000006041002</v>
      </c>
    </row>
    <row r="29" spans="1:253" ht="15" customHeight="1" x14ac:dyDescent="0.3">
      <c r="A29" s="141">
        <v>19</v>
      </c>
      <c r="B29" s="94" t="s">
        <v>240</v>
      </c>
      <c r="C29" s="199" t="s">
        <v>241</v>
      </c>
      <c r="D29" s="199"/>
      <c r="E29" s="199"/>
      <c r="F29" s="95"/>
      <c r="G29" s="94" t="s">
        <v>155</v>
      </c>
      <c r="H29" s="97">
        <v>10.106</v>
      </c>
      <c r="I29" s="95"/>
      <c r="HV29" s="18" t="s">
        <v>232</v>
      </c>
      <c r="HW29" s="18" t="s">
        <v>161</v>
      </c>
      <c r="IR29" s="142">
        <f>68.19*0.068778413</f>
        <v>4.6899999824699998</v>
      </c>
      <c r="IS29" s="142">
        <f>68.19*(1-0.068778413)</f>
        <v>63.500000017529999</v>
      </c>
    </row>
    <row r="30" spans="1:253" ht="15" customHeight="1" x14ac:dyDescent="0.3">
      <c r="A30" s="89" t="s">
        <v>96</v>
      </c>
      <c r="B30" s="89" t="s">
        <v>242</v>
      </c>
      <c r="C30" s="198" t="s">
        <v>243</v>
      </c>
      <c r="D30" s="198"/>
      <c r="E30" s="198"/>
      <c r="F30" s="89" t="s">
        <v>96</v>
      </c>
      <c r="G30" s="89" t="s">
        <v>96</v>
      </c>
      <c r="H30" s="92" t="s">
        <v>96</v>
      </c>
      <c r="I30" s="89" t="s">
        <v>96</v>
      </c>
    </row>
    <row r="31" spans="1:253" ht="15" customHeight="1" x14ac:dyDescent="0.3">
      <c r="A31" s="141">
        <v>20</v>
      </c>
      <c r="B31" s="94" t="s">
        <v>245</v>
      </c>
      <c r="C31" s="199" t="s">
        <v>246</v>
      </c>
      <c r="D31" s="199"/>
      <c r="E31" s="199"/>
      <c r="F31" s="95"/>
      <c r="G31" s="94" t="s">
        <v>176</v>
      </c>
      <c r="H31" s="97">
        <v>51.4</v>
      </c>
      <c r="I31" s="95"/>
      <c r="HV31" s="18" t="s">
        <v>242</v>
      </c>
      <c r="HW31" s="18" t="s">
        <v>161</v>
      </c>
      <c r="IR31" s="142">
        <f>52.11*0</f>
        <v>0</v>
      </c>
      <c r="IS31" s="142">
        <f>52.11*(1-0)</f>
        <v>52.11</v>
      </c>
    </row>
    <row r="32" spans="1:253" ht="15" customHeight="1" x14ac:dyDescent="0.3">
      <c r="A32" s="89" t="s">
        <v>96</v>
      </c>
      <c r="B32" s="89" t="s">
        <v>248</v>
      </c>
      <c r="C32" s="198" t="s">
        <v>249</v>
      </c>
      <c r="D32" s="198"/>
      <c r="E32" s="198"/>
      <c r="F32" s="89" t="s">
        <v>96</v>
      </c>
      <c r="G32" s="89" t="s">
        <v>96</v>
      </c>
      <c r="H32" s="92" t="s">
        <v>96</v>
      </c>
      <c r="I32" s="89" t="s">
        <v>96</v>
      </c>
    </row>
    <row r="33" spans="1:253" ht="58.35" customHeight="1" x14ac:dyDescent="0.3">
      <c r="A33" s="141">
        <v>21</v>
      </c>
      <c r="B33" s="94" t="s">
        <v>251</v>
      </c>
      <c r="C33" s="199" t="s">
        <v>252</v>
      </c>
      <c r="D33" s="199"/>
      <c r="E33" s="199"/>
      <c r="F33" s="95"/>
      <c r="G33" s="94" t="s">
        <v>155</v>
      </c>
      <c r="H33" s="97">
        <v>16.5</v>
      </c>
      <c r="I33" s="95" t="s">
        <v>880</v>
      </c>
      <c r="HV33" s="18" t="s">
        <v>248</v>
      </c>
      <c r="HW33" s="18" t="s">
        <v>161</v>
      </c>
      <c r="IR33" s="142">
        <f>309.46*0</f>
        <v>0</v>
      </c>
      <c r="IS33" s="142">
        <f>309.46*(1-0)</f>
        <v>309.45999999999998</v>
      </c>
    </row>
    <row r="34" spans="1:253" ht="15" customHeight="1" x14ac:dyDescent="0.3">
      <c r="A34" s="141">
        <v>22</v>
      </c>
      <c r="B34" s="94" t="s">
        <v>255</v>
      </c>
      <c r="C34" s="199" t="s">
        <v>256</v>
      </c>
      <c r="D34" s="199"/>
      <c r="E34" s="199"/>
      <c r="F34" s="95"/>
      <c r="G34" s="94" t="s">
        <v>212</v>
      </c>
      <c r="H34" s="97">
        <v>24</v>
      </c>
      <c r="I34" s="95"/>
      <c r="HV34" s="18" t="s">
        <v>248</v>
      </c>
      <c r="HW34" s="18" t="s">
        <v>161</v>
      </c>
      <c r="IR34" s="142">
        <f>70.7*0</f>
        <v>0</v>
      </c>
      <c r="IS34" s="142">
        <f>70.7*(1-0)</f>
        <v>70.7</v>
      </c>
    </row>
    <row r="35" spans="1:253" ht="15" customHeight="1" x14ac:dyDescent="0.3">
      <c r="A35" s="141">
        <v>23</v>
      </c>
      <c r="B35" s="94" t="s">
        <v>258</v>
      </c>
      <c r="C35" s="199" t="s">
        <v>259</v>
      </c>
      <c r="D35" s="199"/>
      <c r="E35" s="199"/>
      <c r="F35" s="95"/>
      <c r="G35" s="94" t="s">
        <v>212</v>
      </c>
      <c r="H35" s="97">
        <v>4</v>
      </c>
      <c r="I35" s="95"/>
      <c r="HV35" s="18" t="s">
        <v>248</v>
      </c>
      <c r="HW35" s="18" t="s">
        <v>161</v>
      </c>
      <c r="IR35" s="142">
        <f>250.5*0</f>
        <v>0</v>
      </c>
      <c r="IS35" s="142">
        <f>250.5*(1-0)</f>
        <v>250.5</v>
      </c>
    </row>
    <row r="36" spans="1:253" ht="15" customHeight="1" x14ac:dyDescent="0.3">
      <c r="A36" s="141">
        <v>24</v>
      </c>
      <c r="B36" s="94" t="s">
        <v>261</v>
      </c>
      <c r="C36" s="199" t="s">
        <v>262</v>
      </c>
      <c r="D36" s="199"/>
      <c r="E36" s="199"/>
      <c r="F36" s="95"/>
      <c r="G36" s="94" t="s">
        <v>212</v>
      </c>
      <c r="H36" s="97">
        <v>6</v>
      </c>
      <c r="I36" s="95"/>
      <c r="HV36" s="18" t="s">
        <v>248</v>
      </c>
      <c r="HW36" s="18" t="s">
        <v>161</v>
      </c>
      <c r="IR36" s="142">
        <f>295.5*0</f>
        <v>0</v>
      </c>
      <c r="IS36" s="142">
        <f>295.5*(1-0)</f>
        <v>295.5</v>
      </c>
    </row>
    <row r="37" spans="1:253" ht="24" customHeight="1" x14ac:dyDescent="0.3">
      <c r="A37" s="141">
        <v>25</v>
      </c>
      <c r="B37" s="94" t="s">
        <v>264</v>
      </c>
      <c r="C37" s="199" t="s">
        <v>265</v>
      </c>
      <c r="D37" s="199"/>
      <c r="E37" s="199"/>
      <c r="F37" s="95"/>
      <c r="G37" s="94" t="s">
        <v>212</v>
      </c>
      <c r="H37" s="97">
        <v>4</v>
      </c>
      <c r="I37" s="95" t="s">
        <v>881</v>
      </c>
      <c r="HV37" s="18" t="s">
        <v>248</v>
      </c>
      <c r="HW37" s="18" t="s">
        <v>161</v>
      </c>
      <c r="IR37" s="142">
        <f>611*0</f>
        <v>0</v>
      </c>
      <c r="IS37" s="142">
        <f>611*(1-0)</f>
        <v>611</v>
      </c>
    </row>
    <row r="38" spans="1:253" ht="15" customHeight="1" x14ac:dyDescent="0.3">
      <c r="A38" s="89" t="s">
        <v>96</v>
      </c>
      <c r="B38" s="89" t="s">
        <v>266</v>
      </c>
      <c r="C38" s="198" t="s">
        <v>267</v>
      </c>
      <c r="D38" s="198"/>
      <c r="E38" s="198"/>
      <c r="F38" s="89" t="s">
        <v>96</v>
      </c>
      <c r="G38" s="89" t="s">
        <v>96</v>
      </c>
      <c r="H38" s="92" t="s">
        <v>96</v>
      </c>
      <c r="I38" s="89" t="s">
        <v>96</v>
      </c>
    </row>
    <row r="39" spans="1:253" ht="15" customHeight="1" x14ac:dyDescent="0.3">
      <c r="A39" s="141">
        <v>26</v>
      </c>
      <c r="B39" s="94" t="s">
        <v>269</v>
      </c>
      <c r="C39" s="199" t="s">
        <v>270</v>
      </c>
      <c r="D39" s="199"/>
      <c r="E39" s="199"/>
      <c r="F39" s="95"/>
      <c r="G39" s="94" t="s">
        <v>155</v>
      </c>
      <c r="H39" s="97">
        <v>47.04</v>
      </c>
      <c r="I39" s="95"/>
      <c r="HV39" s="18" t="s">
        <v>266</v>
      </c>
      <c r="HW39" s="18" t="s">
        <v>161</v>
      </c>
      <c r="IR39" s="142">
        <f>549*0</f>
        <v>0</v>
      </c>
      <c r="IS39" s="142">
        <f>549*(1-0)</f>
        <v>549</v>
      </c>
    </row>
    <row r="40" spans="1:253" ht="15" customHeight="1" x14ac:dyDescent="0.3">
      <c r="A40" s="141">
        <v>27</v>
      </c>
      <c r="B40" s="94" t="s">
        <v>273</v>
      </c>
      <c r="C40" s="199" t="s">
        <v>274</v>
      </c>
      <c r="D40" s="199"/>
      <c r="E40" s="199"/>
      <c r="F40" s="95"/>
      <c r="G40" s="94" t="s">
        <v>155</v>
      </c>
      <c r="H40" s="97">
        <v>16.5</v>
      </c>
      <c r="I40" s="95"/>
      <c r="HV40" s="18" t="s">
        <v>266</v>
      </c>
      <c r="HW40" s="18" t="s">
        <v>161</v>
      </c>
      <c r="IR40" s="142">
        <f>61.8*0</f>
        <v>0</v>
      </c>
      <c r="IS40" s="142">
        <f>61.8*(1-0)</f>
        <v>61.8</v>
      </c>
    </row>
    <row r="41" spans="1:253" ht="15" customHeight="1" x14ac:dyDescent="0.3">
      <c r="A41" s="89" t="s">
        <v>96</v>
      </c>
      <c r="B41" s="89" t="s">
        <v>275</v>
      </c>
      <c r="C41" s="198" t="s">
        <v>276</v>
      </c>
      <c r="D41" s="198"/>
      <c r="E41" s="198"/>
      <c r="F41" s="89" t="s">
        <v>96</v>
      </c>
      <c r="G41" s="89" t="s">
        <v>96</v>
      </c>
      <c r="H41" s="92" t="s">
        <v>96</v>
      </c>
      <c r="I41" s="89" t="s">
        <v>96</v>
      </c>
    </row>
    <row r="42" spans="1:253" ht="58.35" customHeight="1" x14ac:dyDescent="0.3">
      <c r="A42" s="141">
        <v>28</v>
      </c>
      <c r="B42" s="94" t="s">
        <v>278</v>
      </c>
      <c r="C42" s="199" t="s">
        <v>279</v>
      </c>
      <c r="D42" s="199"/>
      <c r="E42" s="199"/>
      <c r="F42" s="95"/>
      <c r="G42" s="94" t="s">
        <v>155</v>
      </c>
      <c r="H42" s="97">
        <v>249.6</v>
      </c>
      <c r="I42" s="95" t="s">
        <v>882</v>
      </c>
      <c r="HV42" s="18" t="s">
        <v>275</v>
      </c>
      <c r="HW42" s="18" t="s">
        <v>161</v>
      </c>
      <c r="IR42" s="142">
        <f>165.51*0</f>
        <v>0</v>
      </c>
      <c r="IS42" s="142">
        <f>165.51*(1-0)</f>
        <v>165.51</v>
      </c>
    </row>
    <row r="43" spans="1:253" ht="15" customHeight="1" x14ac:dyDescent="0.3">
      <c r="A43" s="89" t="s">
        <v>96</v>
      </c>
      <c r="B43" s="89" t="s">
        <v>282</v>
      </c>
      <c r="C43" s="198" t="s">
        <v>283</v>
      </c>
      <c r="D43" s="198"/>
      <c r="E43" s="198"/>
      <c r="F43" s="89" t="s">
        <v>96</v>
      </c>
      <c r="G43" s="89" t="s">
        <v>96</v>
      </c>
      <c r="H43" s="92" t="s">
        <v>96</v>
      </c>
      <c r="I43" s="89" t="s">
        <v>96</v>
      </c>
    </row>
    <row r="44" spans="1:253" ht="409.6" customHeight="1" x14ac:dyDescent="0.3">
      <c r="A44" s="141">
        <v>29</v>
      </c>
      <c r="B44" s="94" t="s">
        <v>285</v>
      </c>
      <c r="C44" s="199" t="s">
        <v>286</v>
      </c>
      <c r="D44" s="199"/>
      <c r="E44" s="199"/>
      <c r="F44" s="95"/>
      <c r="G44" s="94" t="s">
        <v>287</v>
      </c>
      <c r="H44" s="97">
        <v>30</v>
      </c>
      <c r="I44" s="95" t="s">
        <v>883</v>
      </c>
      <c r="HV44" s="18" t="s">
        <v>282</v>
      </c>
      <c r="HW44" s="18" t="s">
        <v>161</v>
      </c>
      <c r="IR44" s="142">
        <f>614*0</f>
        <v>0</v>
      </c>
      <c r="IS44" s="142">
        <f>614*(1-0)</f>
        <v>614</v>
      </c>
    </row>
    <row r="45" spans="1:253" ht="409.6" customHeight="1" x14ac:dyDescent="0.3">
      <c r="A45" s="141">
        <v>30</v>
      </c>
      <c r="B45" s="94" t="s">
        <v>285</v>
      </c>
      <c r="C45" s="199" t="s">
        <v>291</v>
      </c>
      <c r="D45" s="199"/>
      <c r="E45" s="199"/>
      <c r="F45" s="95"/>
      <c r="G45" s="94" t="s">
        <v>287</v>
      </c>
      <c r="H45" s="97">
        <v>60</v>
      </c>
      <c r="I45" s="95" t="s">
        <v>883</v>
      </c>
      <c r="HV45" s="18" t="s">
        <v>282</v>
      </c>
      <c r="HW45" s="18" t="s">
        <v>161</v>
      </c>
      <c r="IR45" s="142">
        <f>614*0</f>
        <v>0</v>
      </c>
      <c r="IS45" s="142">
        <f>614*(1-0)</f>
        <v>614</v>
      </c>
    </row>
    <row r="46" spans="1:253" ht="409.6" customHeight="1" x14ac:dyDescent="0.3">
      <c r="A46" s="141">
        <v>31</v>
      </c>
      <c r="B46" s="94" t="s">
        <v>285</v>
      </c>
      <c r="C46" s="199" t="s">
        <v>293</v>
      </c>
      <c r="D46" s="199"/>
      <c r="E46" s="199"/>
      <c r="F46" s="95"/>
      <c r="G46" s="94" t="s">
        <v>287</v>
      </c>
      <c r="H46" s="97">
        <v>30</v>
      </c>
      <c r="I46" s="95" t="s">
        <v>883</v>
      </c>
      <c r="HV46" s="18" t="s">
        <v>282</v>
      </c>
      <c r="HW46" s="18" t="s">
        <v>161</v>
      </c>
      <c r="IR46" s="142">
        <f>614*0</f>
        <v>0</v>
      </c>
      <c r="IS46" s="142">
        <f>614*(1-0)</f>
        <v>614</v>
      </c>
    </row>
    <row r="47" spans="1:253" ht="409.6" customHeight="1" x14ac:dyDescent="0.3">
      <c r="A47" s="141">
        <v>32</v>
      </c>
      <c r="B47" s="94" t="s">
        <v>285</v>
      </c>
      <c r="C47" s="199" t="s">
        <v>295</v>
      </c>
      <c r="D47" s="199"/>
      <c r="E47" s="199"/>
      <c r="F47" s="95"/>
      <c r="G47" s="94" t="s">
        <v>287</v>
      </c>
      <c r="H47" s="97">
        <v>30</v>
      </c>
      <c r="I47" s="95" t="s">
        <v>883</v>
      </c>
      <c r="HV47" s="18" t="s">
        <v>282</v>
      </c>
      <c r="HW47" s="18" t="s">
        <v>161</v>
      </c>
      <c r="IR47" s="142">
        <f>614*0</f>
        <v>0</v>
      </c>
      <c r="IS47" s="142">
        <f>614*(1-0)</f>
        <v>614</v>
      </c>
    </row>
    <row r="48" spans="1:253" ht="409.6" customHeight="1" x14ac:dyDescent="0.3">
      <c r="A48" s="141">
        <v>33</v>
      </c>
      <c r="B48" s="94" t="s">
        <v>297</v>
      </c>
      <c r="C48" s="199" t="s">
        <v>298</v>
      </c>
      <c r="D48" s="199"/>
      <c r="E48" s="199"/>
      <c r="F48" s="95"/>
      <c r="G48" s="94" t="s">
        <v>287</v>
      </c>
      <c r="H48" s="97">
        <v>55</v>
      </c>
      <c r="I48" s="95" t="s">
        <v>883</v>
      </c>
      <c r="HV48" s="18" t="s">
        <v>282</v>
      </c>
      <c r="HW48" s="18" t="s">
        <v>161</v>
      </c>
      <c r="IR48" s="142">
        <f>691*0</f>
        <v>0</v>
      </c>
      <c r="IS48" s="142">
        <f>691*(1-0)</f>
        <v>691</v>
      </c>
    </row>
    <row r="49" spans="1:253" ht="409.6" customHeight="1" x14ac:dyDescent="0.3">
      <c r="A49" s="141">
        <v>34</v>
      </c>
      <c r="B49" s="94" t="s">
        <v>297</v>
      </c>
      <c r="C49" s="199" t="s">
        <v>300</v>
      </c>
      <c r="D49" s="199"/>
      <c r="E49" s="199"/>
      <c r="F49" s="95"/>
      <c r="G49" s="94" t="s">
        <v>287</v>
      </c>
      <c r="H49" s="97">
        <v>40</v>
      </c>
      <c r="I49" s="95" t="s">
        <v>883</v>
      </c>
      <c r="HV49" s="18" t="s">
        <v>282</v>
      </c>
      <c r="HW49" s="18" t="s">
        <v>161</v>
      </c>
      <c r="IR49" s="142">
        <f>691*0</f>
        <v>0</v>
      </c>
      <c r="IS49" s="142">
        <f>691*(1-0)</f>
        <v>691</v>
      </c>
    </row>
    <row r="50" spans="1:253" ht="409.6" customHeight="1" x14ac:dyDescent="0.3">
      <c r="A50" s="141">
        <v>35</v>
      </c>
      <c r="B50" s="94" t="s">
        <v>285</v>
      </c>
      <c r="C50" s="199" t="s">
        <v>302</v>
      </c>
      <c r="D50" s="199"/>
      <c r="E50" s="199"/>
      <c r="F50" s="95"/>
      <c r="G50" s="94" t="s">
        <v>287</v>
      </c>
      <c r="H50" s="97">
        <v>30</v>
      </c>
      <c r="I50" s="95" t="s">
        <v>883</v>
      </c>
      <c r="HV50" s="18" t="s">
        <v>282</v>
      </c>
      <c r="HW50" s="18" t="s">
        <v>161</v>
      </c>
      <c r="IR50" s="142">
        <f>614*0</f>
        <v>0</v>
      </c>
      <c r="IS50" s="142">
        <f>614*(1-0)</f>
        <v>614</v>
      </c>
    </row>
    <row r="51" spans="1:253" ht="24" customHeight="1" x14ac:dyDescent="0.3">
      <c r="A51" s="141">
        <v>36</v>
      </c>
      <c r="B51" s="94" t="s">
        <v>285</v>
      </c>
      <c r="C51" s="199" t="s">
        <v>304</v>
      </c>
      <c r="D51" s="199"/>
      <c r="E51" s="199"/>
      <c r="F51" s="95"/>
      <c r="G51" s="94" t="s">
        <v>287</v>
      </c>
      <c r="H51" s="97">
        <v>10</v>
      </c>
      <c r="I51" s="95"/>
      <c r="HV51" s="18" t="s">
        <v>282</v>
      </c>
      <c r="HW51" s="18" t="s">
        <v>161</v>
      </c>
      <c r="IR51" s="142">
        <f>614*0</f>
        <v>0</v>
      </c>
      <c r="IS51" s="142">
        <f>614*(1-0)</f>
        <v>614</v>
      </c>
    </row>
    <row r="52" spans="1:253" ht="15" customHeight="1" x14ac:dyDescent="0.3">
      <c r="A52" s="89" t="s">
        <v>96</v>
      </c>
      <c r="B52" s="89" t="s">
        <v>305</v>
      </c>
      <c r="C52" s="198" t="s">
        <v>306</v>
      </c>
      <c r="D52" s="198"/>
      <c r="E52" s="198"/>
      <c r="F52" s="89" t="s">
        <v>96</v>
      </c>
      <c r="G52" s="89" t="s">
        <v>96</v>
      </c>
      <c r="H52" s="92" t="s">
        <v>96</v>
      </c>
      <c r="I52" s="89" t="s">
        <v>96</v>
      </c>
    </row>
    <row r="53" spans="1:253" ht="58.35" customHeight="1" x14ac:dyDescent="0.3">
      <c r="A53" s="141">
        <v>37</v>
      </c>
      <c r="B53" s="94" t="s">
        <v>308</v>
      </c>
      <c r="C53" s="199" t="s">
        <v>309</v>
      </c>
      <c r="D53" s="199"/>
      <c r="E53" s="199"/>
      <c r="F53" s="95"/>
      <c r="G53" s="94" t="s">
        <v>176</v>
      </c>
      <c r="H53" s="97">
        <v>50.4</v>
      </c>
      <c r="I53" s="95" t="s">
        <v>884</v>
      </c>
      <c r="HV53" s="18" t="s">
        <v>305</v>
      </c>
      <c r="HW53" s="18" t="s">
        <v>161</v>
      </c>
      <c r="IR53" s="142">
        <f>73.51*0.540198612</f>
        <v>39.709999968120002</v>
      </c>
      <c r="IS53" s="142">
        <f>73.51*(1-0.540198612)</f>
        <v>33.800000031880003</v>
      </c>
    </row>
    <row r="54" spans="1:253" ht="15" customHeight="1" x14ac:dyDescent="0.3">
      <c r="A54" s="141">
        <v>38</v>
      </c>
      <c r="B54" s="94" t="s">
        <v>312</v>
      </c>
      <c r="C54" s="199" t="s">
        <v>313</v>
      </c>
      <c r="D54" s="199"/>
      <c r="E54" s="199"/>
      <c r="F54" s="95"/>
      <c r="G54" s="94" t="s">
        <v>155</v>
      </c>
      <c r="H54" s="97">
        <v>50.4</v>
      </c>
      <c r="I54" s="95"/>
      <c r="HV54" s="18" t="s">
        <v>305</v>
      </c>
      <c r="HW54" s="18" t="s">
        <v>161</v>
      </c>
      <c r="IR54" s="142">
        <f>13.6*0</f>
        <v>0</v>
      </c>
      <c r="IS54" s="142">
        <f>13.6*(1-0)</f>
        <v>13.6</v>
      </c>
    </row>
    <row r="55" spans="1:253" ht="24" customHeight="1" x14ac:dyDescent="0.3">
      <c r="A55" s="141">
        <v>39</v>
      </c>
      <c r="B55" s="94" t="s">
        <v>315</v>
      </c>
      <c r="C55" s="199" t="s">
        <v>316</v>
      </c>
      <c r="D55" s="199"/>
      <c r="E55" s="199"/>
      <c r="F55" s="95"/>
      <c r="G55" s="94" t="s">
        <v>155</v>
      </c>
      <c r="H55" s="97">
        <v>50.4</v>
      </c>
      <c r="I55" s="95"/>
      <c r="HV55" s="18" t="s">
        <v>305</v>
      </c>
      <c r="HW55" s="18" t="s">
        <v>161</v>
      </c>
      <c r="IR55" s="142">
        <f>69.5*0</f>
        <v>0</v>
      </c>
      <c r="IS55" s="142">
        <f>69.5*(1-0)</f>
        <v>69.5</v>
      </c>
    </row>
    <row r="56" spans="1:253" ht="15" customHeight="1" x14ac:dyDescent="0.3">
      <c r="A56" s="141">
        <v>40</v>
      </c>
      <c r="B56" s="94" t="s">
        <v>318</v>
      </c>
      <c r="C56" s="199" t="s">
        <v>319</v>
      </c>
      <c r="D56" s="199"/>
      <c r="E56" s="199"/>
      <c r="F56" s="95"/>
      <c r="G56" s="94" t="s">
        <v>155</v>
      </c>
      <c r="H56" s="97">
        <v>50.4</v>
      </c>
      <c r="I56" s="95"/>
      <c r="HV56" s="18" t="s">
        <v>305</v>
      </c>
      <c r="HW56" s="18" t="s">
        <v>161</v>
      </c>
      <c r="IR56" s="142">
        <f>55.3*0</f>
        <v>0</v>
      </c>
      <c r="IS56" s="142">
        <f>55.3*(1-0)</f>
        <v>55.3</v>
      </c>
    </row>
    <row r="57" spans="1:253" ht="15" customHeight="1" x14ac:dyDescent="0.3">
      <c r="A57" s="141">
        <v>41</v>
      </c>
      <c r="B57" s="94" t="s">
        <v>321</v>
      </c>
      <c r="C57" s="199" t="s">
        <v>322</v>
      </c>
      <c r="D57" s="199"/>
      <c r="E57" s="199"/>
      <c r="F57" s="95"/>
      <c r="G57" s="94" t="s">
        <v>323</v>
      </c>
      <c r="H57" s="97">
        <v>0.71399999999999997</v>
      </c>
      <c r="I57" s="95"/>
      <c r="HV57" s="18" t="s">
        <v>305</v>
      </c>
      <c r="HW57" s="18" t="s">
        <v>161</v>
      </c>
      <c r="IR57" s="142">
        <f>1107.99*0</f>
        <v>0</v>
      </c>
      <c r="IS57" s="142">
        <f>1107.99*(1-0)</f>
        <v>1107.99</v>
      </c>
    </row>
    <row r="58" spans="1:253" ht="15" customHeight="1" x14ac:dyDescent="0.3">
      <c r="A58" s="89" t="s">
        <v>96</v>
      </c>
      <c r="B58" s="89" t="s">
        <v>324</v>
      </c>
      <c r="C58" s="198" t="s">
        <v>325</v>
      </c>
      <c r="D58" s="198"/>
      <c r="E58" s="198"/>
      <c r="F58" s="89" t="s">
        <v>96</v>
      </c>
      <c r="G58" s="89" t="s">
        <v>96</v>
      </c>
      <c r="H58" s="92" t="s">
        <v>96</v>
      </c>
      <c r="I58" s="89" t="s">
        <v>96</v>
      </c>
    </row>
    <row r="59" spans="1:253" ht="58.35" customHeight="1" x14ac:dyDescent="0.3">
      <c r="A59" s="141">
        <v>42</v>
      </c>
      <c r="B59" s="94" t="s">
        <v>327</v>
      </c>
      <c r="C59" s="199" t="s">
        <v>328</v>
      </c>
      <c r="D59" s="199"/>
      <c r="E59" s="199"/>
      <c r="F59" s="95"/>
      <c r="G59" s="94" t="s">
        <v>212</v>
      </c>
      <c r="H59" s="97">
        <v>10</v>
      </c>
      <c r="I59" s="95" t="s">
        <v>885</v>
      </c>
      <c r="HV59" s="18" t="s">
        <v>324</v>
      </c>
      <c r="HW59" s="18" t="s">
        <v>161</v>
      </c>
      <c r="IR59" s="142">
        <f>15.31*0</f>
        <v>0</v>
      </c>
      <c r="IS59" s="142">
        <f>15.31*(1-0)</f>
        <v>15.31</v>
      </c>
    </row>
    <row r="60" spans="1:253" ht="58.35" customHeight="1" x14ac:dyDescent="0.3">
      <c r="A60" s="141">
        <v>43</v>
      </c>
      <c r="B60" s="94" t="s">
        <v>331</v>
      </c>
      <c r="C60" s="199" t="s">
        <v>332</v>
      </c>
      <c r="D60" s="199"/>
      <c r="E60" s="199"/>
      <c r="F60" s="95"/>
      <c r="G60" s="94" t="s">
        <v>212</v>
      </c>
      <c r="H60" s="97">
        <v>22</v>
      </c>
      <c r="I60" s="95" t="s">
        <v>885</v>
      </c>
      <c r="HV60" s="18" t="s">
        <v>324</v>
      </c>
      <c r="HW60" s="18" t="s">
        <v>161</v>
      </c>
      <c r="IR60" s="142">
        <f>30.49*0</f>
        <v>0</v>
      </c>
      <c r="IS60" s="142">
        <f>30.49*(1-0)</f>
        <v>30.49</v>
      </c>
    </row>
    <row r="61" spans="1:253" ht="69.900000000000006" customHeight="1" x14ac:dyDescent="0.3">
      <c r="A61" s="141">
        <v>44</v>
      </c>
      <c r="B61" s="94" t="s">
        <v>334</v>
      </c>
      <c r="C61" s="199" t="s">
        <v>335</v>
      </c>
      <c r="D61" s="199"/>
      <c r="E61" s="199"/>
      <c r="F61" s="95"/>
      <c r="G61" s="94" t="s">
        <v>155</v>
      </c>
      <c r="H61" s="97">
        <v>27.82</v>
      </c>
      <c r="I61" s="95" t="s">
        <v>886</v>
      </c>
      <c r="HV61" s="18" t="s">
        <v>324</v>
      </c>
      <c r="HW61" s="18" t="s">
        <v>161</v>
      </c>
      <c r="IR61" s="142">
        <f>561.01*0.060908005</f>
        <v>34.169999885049997</v>
      </c>
      <c r="IS61" s="142">
        <f>561.01*(1-0.060908005)</f>
        <v>526.84000011494993</v>
      </c>
    </row>
    <row r="62" spans="1:253" ht="58.35" customHeight="1" x14ac:dyDescent="0.3">
      <c r="A62" s="141">
        <v>45</v>
      </c>
      <c r="B62" s="94" t="s">
        <v>337</v>
      </c>
      <c r="C62" s="199" t="s">
        <v>338</v>
      </c>
      <c r="D62" s="199"/>
      <c r="E62" s="199"/>
      <c r="F62" s="95"/>
      <c r="G62" s="94" t="s">
        <v>212</v>
      </c>
      <c r="H62" s="97">
        <v>24</v>
      </c>
      <c r="I62" s="95" t="s">
        <v>885</v>
      </c>
      <c r="HV62" s="18" t="s">
        <v>324</v>
      </c>
      <c r="HW62" s="18" t="s">
        <v>161</v>
      </c>
      <c r="IR62" s="142">
        <f>25.4*0</f>
        <v>0</v>
      </c>
      <c r="IS62" s="142">
        <f>25.4*(1-0)</f>
        <v>25.4</v>
      </c>
    </row>
    <row r="63" spans="1:253" ht="92.7" customHeight="1" x14ac:dyDescent="0.3">
      <c r="A63" s="141">
        <v>46</v>
      </c>
      <c r="B63" s="94" t="s">
        <v>340</v>
      </c>
      <c r="C63" s="199" t="s">
        <v>341</v>
      </c>
      <c r="D63" s="199"/>
      <c r="E63" s="199"/>
      <c r="F63" s="95"/>
      <c r="G63" s="94" t="s">
        <v>155</v>
      </c>
      <c r="H63" s="97">
        <v>24</v>
      </c>
      <c r="I63" s="95" t="s">
        <v>887</v>
      </c>
      <c r="HV63" s="18" t="s">
        <v>324</v>
      </c>
      <c r="HW63" s="18" t="s">
        <v>161</v>
      </c>
      <c r="IR63" s="142">
        <f>177.51*0.151371754</f>
        <v>26.870000052539996</v>
      </c>
      <c r="IS63" s="142">
        <f>177.51*(1-0.151371754)</f>
        <v>150.63999994745998</v>
      </c>
    </row>
    <row r="64" spans="1:253" ht="92.7" customHeight="1" x14ac:dyDescent="0.3">
      <c r="A64" s="141">
        <v>47</v>
      </c>
      <c r="B64" s="94" t="s">
        <v>343</v>
      </c>
      <c r="C64" s="199" t="s">
        <v>344</v>
      </c>
      <c r="D64" s="199"/>
      <c r="E64" s="199"/>
      <c r="F64" s="95"/>
      <c r="G64" s="94" t="s">
        <v>155</v>
      </c>
      <c r="H64" s="97">
        <v>32.64</v>
      </c>
      <c r="I64" s="95" t="s">
        <v>887</v>
      </c>
      <c r="HV64" s="18" t="s">
        <v>324</v>
      </c>
      <c r="HW64" s="18" t="s">
        <v>161</v>
      </c>
      <c r="IR64" s="142">
        <f>218*0.133990826</f>
        <v>29.210000068000003</v>
      </c>
      <c r="IS64" s="142">
        <f>218*(1-0.133990826)</f>
        <v>188.789999932</v>
      </c>
    </row>
    <row r="65" spans="1:253" ht="58.35" customHeight="1" x14ac:dyDescent="0.3">
      <c r="A65" s="141">
        <v>48</v>
      </c>
      <c r="B65" s="94" t="s">
        <v>346</v>
      </c>
      <c r="C65" s="199" t="s">
        <v>347</v>
      </c>
      <c r="D65" s="199"/>
      <c r="E65" s="199"/>
      <c r="F65" s="95"/>
      <c r="G65" s="94" t="s">
        <v>212</v>
      </c>
      <c r="H65" s="97">
        <v>4</v>
      </c>
      <c r="I65" s="95" t="s">
        <v>885</v>
      </c>
      <c r="HV65" s="18" t="s">
        <v>324</v>
      </c>
      <c r="HW65" s="18" t="s">
        <v>161</v>
      </c>
      <c r="IR65" s="142">
        <f>44.31*0</f>
        <v>0</v>
      </c>
      <c r="IS65" s="142">
        <f>44.31*(1-0)</f>
        <v>44.31</v>
      </c>
    </row>
    <row r="66" spans="1:253" ht="69.900000000000006" customHeight="1" x14ac:dyDescent="0.3">
      <c r="A66" s="141">
        <v>49</v>
      </c>
      <c r="B66" s="94" t="s">
        <v>349</v>
      </c>
      <c r="C66" s="199" t="s">
        <v>350</v>
      </c>
      <c r="D66" s="199"/>
      <c r="E66" s="199"/>
      <c r="F66" s="95"/>
      <c r="G66" s="94" t="s">
        <v>155</v>
      </c>
      <c r="H66" s="97">
        <v>6.0819999999999999</v>
      </c>
      <c r="I66" s="95" t="s">
        <v>886</v>
      </c>
      <c r="HV66" s="18" t="s">
        <v>324</v>
      </c>
      <c r="HW66" s="18" t="s">
        <v>161</v>
      </c>
      <c r="IR66" s="142">
        <f>432.49*0.067539134</f>
        <v>29.210000063660001</v>
      </c>
      <c r="IS66" s="142">
        <f>432.49*(1-0.067539134)</f>
        <v>403.27999993634</v>
      </c>
    </row>
    <row r="67" spans="1:253" ht="92.7" customHeight="1" x14ac:dyDescent="0.3">
      <c r="A67" s="141">
        <v>50</v>
      </c>
      <c r="B67" s="94" t="s">
        <v>352</v>
      </c>
      <c r="C67" s="199" t="s">
        <v>353</v>
      </c>
      <c r="D67" s="199"/>
      <c r="E67" s="199"/>
      <c r="F67" s="95"/>
      <c r="G67" s="94" t="s">
        <v>155</v>
      </c>
      <c r="H67" s="97">
        <v>2.4</v>
      </c>
      <c r="I67" s="95" t="s">
        <v>888</v>
      </c>
      <c r="HV67" s="18" t="s">
        <v>324</v>
      </c>
      <c r="HW67" s="18" t="s">
        <v>161</v>
      </c>
      <c r="IR67" s="142">
        <f>611*0.14492635</f>
        <v>88.549999850000006</v>
      </c>
      <c r="IS67" s="142">
        <f>611*(1-0.14492635)</f>
        <v>522.45000015000005</v>
      </c>
    </row>
    <row r="68" spans="1:253" ht="58.35" customHeight="1" x14ac:dyDescent="0.3">
      <c r="A68" s="141">
        <v>51</v>
      </c>
      <c r="B68" s="94" t="s">
        <v>355</v>
      </c>
      <c r="C68" s="199" t="s">
        <v>356</v>
      </c>
      <c r="D68" s="199"/>
      <c r="E68" s="199"/>
      <c r="F68" s="95"/>
      <c r="G68" s="94" t="s">
        <v>212</v>
      </c>
      <c r="H68" s="97">
        <v>6</v>
      </c>
      <c r="I68" s="95" t="s">
        <v>885</v>
      </c>
      <c r="HV68" s="18" t="s">
        <v>324</v>
      </c>
      <c r="HW68" s="18" t="s">
        <v>161</v>
      </c>
      <c r="IR68" s="142">
        <f>33.29*0</f>
        <v>0</v>
      </c>
      <c r="IS68" s="142">
        <f>33.29*(1-0)</f>
        <v>33.29</v>
      </c>
    </row>
    <row r="69" spans="1:253" ht="35.549999999999997" customHeight="1" x14ac:dyDescent="0.3">
      <c r="A69" s="141">
        <v>52</v>
      </c>
      <c r="B69" s="94" t="s">
        <v>358</v>
      </c>
      <c r="C69" s="199" t="s">
        <v>359</v>
      </c>
      <c r="D69" s="199"/>
      <c r="E69" s="199"/>
      <c r="F69" s="95"/>
      <c r="G69" s="94" t="s">
        <v>176</v>
      </c>
      <c r="H69" s="97">
        <v>33.6</v>
      </c>
      <c r="I69" s="95" t="s">
        <v>889</v>
      </c>
      <c r="HV69" s="18" t="s">
        <v>324</v>
      </c>
      <c r="HW69" s="18" t="s">
        <v>161</v>
      </c>
      <c r="IR69" s="142">
        <f>51*0</f>
        <v>0</v>
      </c>
      <c r="IS69" s="142">
        <f>51*(1-0)</f>
        <v>51</v>
      </c>
    </row>
    <row r="70" spans="1:253" ht="15" customHeight="1" x14ac:dyDescent="0.3">
      <c r="A70" s="141">
        <v>53</v>
      </c>
      <c r="B70" s="94" t="s">
        <v>361</v>
      </c>
      <c r="C70" s="199" t="s">
        <v>362</v>
      </c>
      <c r="D70" s="199"/>
      <c r="E70" s="199"/>
      <c r="F70" s="95"/>
      <c r="G70" s="94" t="s">
        <v>155</v>
      </c>
      <c r="H70" s="97">
        <v>15.984</v>
      </c>
      <c r="I70" s="95"/>
      <c r="HV70" s="18" t="s">
        <v>324</v>
      </c>
      <c r="HW70" s="18" t="s">
        <v>161</v>
      </c>
      <c r="IR70" s="142">
        <f>160.49*0.121066733</f>
        <v>19.429999979169999</v>
      </c>
      <c r="IS70" s="142">
        <f>160.49*(1-0.121066733)</f>
        <v>141.06000002082999</v>
      </c>
    </row>
    <row r="71" spans="1:253" ht="35.549999999999997" customHeight="1" x14ac:dyDescent="0.3">
      <c r="A71" s="141">
        <v>54</v>
      </c>
      <c r="B71" s="94" t="s">
        <v>364</v>
      </c>
      <c r="C71" s="199" t="s">
        <v>365</v>
      </c>
      <c r="D71" s="199"/>
      <c r="E71" s="199"/>
      <c r="F71" s="95"/>
      <c r="G71" s="94" t="s">
        <v>366</v>
      </c>
      <c r="H71" s="97">
        <v>5.94</v>
      </c>
      <c r="I71" s="95" t="s">
        <v>890</v>
      </c>
      <c r="HV71" s="18" t="s">
        <v>324</v>
      </c>
      <c r="HW71" s="18" t="s">
        <v>161</v>
      </c>
      <c r="IR71" s="142">
        <f>978*0.03293456</f>
        <v>32.209999680000003</v>
      </c>
      <c r="IS71" s="142">
        <f>978*(1-0.03293456)</f>
        <v>945.7900003200001</v>
      </c>
    </row>
    <row r="72" spans="1:253" ht="58.35" customHeight="1" x14ac:dyDescent="0.3">
      <c r="A72" s="141">
        <v>55</v>
      </c>
      <c r="B72" s="94" t="s">
        <v>368</v>
      </c>
      <c r="C72" s="199" t="s">
        <v>369</v>
      </c>
      <c r="D72" s="199"/>
      <c r="E72" s="199"/>
      <c r="F72" s="95" t="s">
        <v>891</v>
      </c>
      <c r="G72" s="94" t="s">
        <v>366</v>
      </c>
      <c r="H72" s="97">
        <v>16.605</v>
      </c>
      <c r="I72" s="95" t="s">
        <v>892</v>
      </c>
      <c r="HV72" s="18" t="s">
        <v>324</v>
      </c>
      <c r="HW72" s="18" t="s">
        <v>161</v>
      </c>
      <c r="IR72" s="142">
        <f>3154.96*0</f>
        <v>0</v>
      </c>
      <c r="IS72" s="142">
        <f>3154.96*(1-0)</f>
        <v>3154.96</v>
      </c>
    </row>
    <row r="73" spans="1:253" ht="35.549999999999997" customHeight="1" x14ac:dyDescent="0.3">
      <c r="A73" s="141">
        <v>56</v>
      </c>
      <c r="B73" s="94" t="s">
        <v>371</v>
      </c>
      <c r="C73" s="199" t="s">
        <v>372</v>
      </c>
      <c r="D73" s="199"/>
      <c r="E73" s="199"/>
      <c r="F73" s="95"/>
      <c r="G73" s="94" t="s">
        <v>366</v>
      </c>
      <c r="H73" s="97">
        <v>71.153999999999996</v>
      </c>
      <c r="I73" s="95" t="s">
        <v>890</v>
      </c>
      <c r="HV73" s="18" t="s">
        <v>324</v>
      </c>
      <c r="HW73" s="18" t="s">
        <v>161</v>
      </c>
      <c r="IR73" s="142">
        <f>4810*0</f>
        <v>0</v>
      </c>
      <c r="IS73" s="142">
        <f>4810*(1-0)</f>
        <v>4810</v>
      </c>
    </row>
    <row r="74" spans="1:253" ht="104.25" customHeight="1" x14ac:dyDescent="0.3">
      <c r="A74" s="141">
        <v>57</v>
      </c>
      <c r="B74" s="94" t="s">
        <v>374</v>
      </c>
      <c r="C74" s="199" t="s">
        <v>375</v>
      </c>
      <c r="D74" s="199"/>
      <c r="E74" s="199"/>
      <c r="F74" s="95" t="s">
        <v>893</v>
      </c>
      <c r="G74" s="94" t="s">
        <v>366</v>
      </c>
      <c r="H74" s="97">
        <v>26.01</v>
      </c>
      <c r="I74" s="95" t="s">
        <v>894</v>
      </c>
      <c r="HV74" s="18" t="s">
        <v>324</v>
      </c>
      <c r="HW74" s="18" t="s">
        <v>161</v>
      </c>
      <c r="IR74" s="142">
        <f>2395*0</f>
        <v>0</v>
      </c>
      <c r="IS74" s="142">
        <f>2395*(1-0)</f>
        <v>2395</v>
      </c>
    </row>
    <row r="75" spans="1:253" ht="15" customHeight="1" x14ac:dyDescent="0.3">
      <c r="A75" s="89" t="s">
        <v>96</v>
      </c>
      <c r="B75" s="89" t="s">
        <v>376</v>
      </c>
      <c r="C75" s="198" t="s">
        <v>377</v>
      </c>
      <c r="D75" s="198"/>
      <c r="E75" s="198"/>
      <c r="F75" s="89" t="s">
        <v>96</v>
      </c>
      <c r="G75" s="89" t="s">
        <v>96</v>
      </c>
      <c r="H75" s="92" t="s">
        <v>96</v>
      </c>
      <c r="I75" s="89" t="s">
        <v>96</v>
      </c>
    </row>
    <row r="76" spans="1:253" ht="35.549999999999997" customHeight="1" x14ac:dyDescent="0.3">
      <c r="A76" s="141">
        <v>58</v>
      </c>
      <c r="B76" s="94" t="s">
        <v>379</v>
      </c>
      <c r="C76" s="199" t="s">
        <v>380</v>
      </c>
      <c r="D76" s="199"/>
      <c r="E76" s="199"/>
      <c r="F76" s="95"/>
      <c r="G76" s="94" t="s">
        <v>176</v>
      </c>
      <c r="H76" s="97">
        <v>38.200000000000003</v>
      </c>
      <c r="I76" s="95" t="s">
        <v>889</v>
      </c>
      <c r="HV76" s="18" t="s">
        <v>376</v>
      </c>
      <c r="HW76" s="18" t="s">
        <v>161</v>
      </c>
      <c r="IR76" s="142">
        <f>304.49*0</f>
        <v>0</v>
      </c>
      <c r="IS76" s="142">
        <f>304.49*(1-0)</f>
        <v>304.49</v>
      </c>
    </row>
    <row r="77" spans="1:253" ht="35.549999999999997" customHeight="1" x14ac:dyDescent="0.3">
      <c r="A77" s="141">
        <v>59</v>
      </c>
      <c r="B77" s="94" t="s">
        <v>383</v>
      </c>
      <c r="C77" s="199" t="s">
        <v>384</v>
      </c>
      <c r="D77" s="199"/>
      <c r="E77" s="199"/>
      <c r="F77" s="95"/>
      <c r="G77" s="94" t="s">
        <v>176</v>
      </c>
      <c r="H77" s="97">
        <v>2</v>
      </c>
      <c r="I77" s="95" t="s">
        <v>889</v>
      </c>
      <c r="HV77" s="18" t="s">
        <v>376</v>
      </c>
      <c r="HW77" s="18" t="s">
        <v>161</v>
      </c>
      <c r="IR77" s="142">
        <f>92.99*0</f>
        <v>0</v>
      </c>
      <c r="IS77" s="142">
        <f>92.99*(1-0)</f>
        <v>92.99</v>
      </c>
    </row>
    <row r="78" spans="1:253" ht="35.549999999999997" customHeight="1" x14ac:dyDescent="0.3">
      <c r="A78" s="141">
        <v>60</v>
      </c>
      <c r="B78" s="94" t="s">
        <v>386</v>
      </c>
      <c r="C78" s="199" t="s">
        <v>387</v>
      </c>
      <c r="D78" s="199"/>
      <c r="E78" s="199"/>
      <c r="F78" s="95"/>
      <c r="G78" s="94" t="s">
        <v>212</v>
      </c>
      <c r="H78" s="97">
        <v>5</v>
      </c>
      <c r="I78" s="95" t="s">
        <v>889</v>
      </c>
      <c r="HV78" s="18" t="s">
        <v>376</v>
      </c>
      <c r="HW78" s="18" t="s">
        <v>161</v>
      </c>
      <c r="IR78" s="142">
        <f>141*0</f>
        <v>0</v>
      </c>
      <c r="IS78" s="142">
        <f>141*(1-0)</f>
        <v>141</v>
      </c>
    </row>
    <row r="79" spans="1:253" ht="15" customHeight="1" x14ac:dyDescent="0.3">
      <c r="A79" s="89" t="s">
        <v>96</v>
      </c>
      <c r="B79" s="89" t="s">
        <v>388</v>
      </c>
      <c r="C79" s="198" t="s">
        <v>389</v>
      </c>
      <c r="D79" s="198"/>
      <c r="E79" s="198"/>
      <c r="F79" s="89" t="s">
        <v>96</v>
      </c>
      <c r="G79" s="89" t="s">
        <v>96</v>
      </c>
      <c r="H79" s="92" t="s">
        <v>96</v>
      </c>
      <c r="I79" s="89" t="s">
        <v>96</v>
      </c>
    </row>
    <row r="80" spans="1:253" ht="15" customHeight="1" x14ac:dyDescent="0.3">
      <c r="A80" s="141">
        <v>61</v>
      </c>
      <c r="B80" s="94" t="s">
        <v>391</v>
      </c>
      <c r="C80" s="199" t="s">
        <v>392</v>
      </c>
      <c r="D80" s="199"/>
      <c r="E80" s="199"/>
      <c r="F80" s="95"/>
      <c r="G80" s="94" t="s">
        <v>366</v>
      </c>
      <c r="H80" s="97">
        <v>120.14</v>
      </c>
      <c r="I80" s="95"/>
      <c r="HV80" s="18" t="s">
        <v>388</v>
      </c>
      <c r="HW80" s="18" t="s">
        <v>161</v>
      </c>
      <c r="IR80" s="142">
        <f>14120*0.002898725</f>
        <v>40.929997</v>
      </c>
      <c r="IS80" s="142">
        <f>14120*(1-0.002898725)</f>
        <v>14079.070003000001</v>
      </c>
    </row>
    <row r="81" spans="1:253" ht="15" customHeight="1" x14ac:dyDescent="0.3">
      <c r="A81" s="141">
        <v>62</v>
      </c>
      <c r="B81" s="94" t="s">
        <v>391</v>
      </c>
      <c r="C81" s="199" t="s">
        <v>395</v>
      </c>
      <c r="D81" s="199"/>
      <c r="E81" s="199"/>
      <c r="F81" s="95"/>
      <c r="G81" s="94" t="s">
        <v>366</v>
      </c>
      <c r="H81" s="97">
        <v>47.097999999999999</v>
      </c>
      <c r="I81" s="95"/>
      <c r="HV81" s="18" t="s">
        <v>388</v>
      </c>
      <c r="HW81" s="18" t="s">
        <v>161</v>
      </c>
      <c r="IR81" s="142">
        <f>14120*0.002898725</f>
        <v>40.929997</v>
      </c>
      <c r="IS81" s="142">
        <f>14120*(1-0.002898725)</f>
        <v>14079.070003000001</v>
      </c>
    </row>
    <row r="82" spans="1:253" ht="24" customHeight="1" x14ac:dyDescent="0.3">
      <c r="A82" s="141">
        <v>63</v>
      </c>
      <c r="B82" s="94" t="s">
        <v>391</v>
      </c>
      <c r="C82" s="199" t="s">
        <v>397</v>
      </c>
      <c r="D82" s="199"/>
      <c r="E82" s="199"/>
      <c r="F82" s="95"/>
      <c r="G82" s="94" t="s">
        <v>366</v>
      </c>
      <c r="H82" s="97">
        <v>83.965999999999994</v>
      </c>
      <c r="I82" s="95"/>
      <c r="HV82" s="18" t="s">
        <v>388</v>
      </c>
      <c r="HW82" s="18" t="s">
        <v>161</v>
      </c>
      <c r="IR82" s="142">
        <f>14120*0.002898725</f>
        <v>40.929997</v>
      </c>
      <c r="IS82" s="142">
        <f>14120*(1-0.002898725)</f>
        <v>14079.070003000001</v>
      </c>
    </row>
    <row r="83" spans="1:253" ht="15" customHeight="1" x14ac:dyDescent="0.3">
      <c r="A83" s="89" t="s">
        <v>96</v>
      </c>
      <c r="B83" s="89" t="s">
        <v>398</v>
      </c>
      <c r="C83" s="198" t="s">
        <v>399</v>
      </c>
      <c r="D83" s="198"/>
      <c r="E83" s="198"/>
      <c r="F83" s="89" t="s">
        <v>96</v>
      </c>
      <c r="G83" s="89" t="s">
        <v>96</v>
      </c>
      <c r="H83" s="92" t="s">
        <v>96</v>
      </c>
      <c r="I83" s="89" t="s">
        <v>96</v>
      </c>
    </row>
    <row r="84" spans="1:253" ht="15" customHeight="1" x14ac:dyDescent="0.3">
      <c r="A84" s="141">
        <v>64</v>
      </c>
      <c r="B84" s="94" t="s">
        <v>401</v>
      </c>
      <c r="C84" s="199" t="s">
        <v>402</v>
      </c>
      <c r="D84" s="199"/>
      <c r="E84" s="199"/>
      <c r="F84" s="95"/>
      <c r="G84" s="94" t="s">
        <v>323</v>
      </c>
      <c r="H84" s="97">
        <v>9.4580000000000002</v>
      </c>
      <c r="I84" s="95" t="s">
        <v>895</v>
      </c>
      <c r="HV84" s="18" t="s">
        <v>398</v>
      </c>
      <c r="HW84" s="18" t="s">
        <v>161</v>
      </c>
      <c r="IR84" s="142">
        <f>266.5*0</f>
        <v>0</v>
      </c>
      <c r="IS84" s="142">
        <f>266.5*(1-0)</f>
        <v>266.5</v>
      </c>
    </row>
    <row r="85" spans="1:253" ht="15" customHeight="1" x14ac:dyDescent="0.3">
      <c r="A85" s="141">
        <v>65</v>
      </c>
      <c r="B85" s="94" t="s">
        <v>405</v>
      </c>
      <c r="C85" s="199" t="s">
        <v>406</v>
      </c>
      <c r="D85" s="199"/>
      <c r="E85" s="199"/>
      <c r="F85" s="95"/>
      <c r="G85" s="94" t="s">
        <v>323</v>
      </c>
      <c r="H85" s="97">
        <v>199.53</v>
      </c>
      <c r="I85" s="95"/>
      <c r="HV85" s="18" t="s">
        <v>398</v>
      </c>
      <c r="HW85" s="18" t="s">
        <v>161</v>
      </c>
      <c r="IR85" s="142">
        <f>128.5*0</f>
        <v>0</v>
      </c>
      <c r="IS85" s="142">
        <f>128.5*(1-0)</f>
        <v>128.5</v>
      </c>
    </row>
    <row r="86" spans="1:253" ht="15" customHeight="1" x14ac:dyDescent="0.3">
      <c r="A86" s="141">
        <v>66</v>
      </c>
      <c r="B86" s="94" t="s">
        <v>408</v>
      </c>
      <c r="C86" s="199" t="s">
        <v>409</v>
      </c>
      <c r="D86" s="199"/>
      <c r="E86" s="199"/>
      <c r="F86" s="95"/>
      <c r="G86" s="94" t="s">
        <v>323</v>
      </c>
      <c r="H86" s="97">
        <v>23.247</v>
      </c>
      <c r="I86" s="95"/>
      <c r="HV86" s="18" t="s">
        <v>398</v>
      </c>
      <c r="HW86" s="18" t="s">
        <v>161</v>
      </c>
      <c r="IR86" s="142">
        <f>592*0</f>
        <v>0</v>
      </c>
      <c r="IS86" s="142">
        <f>592*(1-0)</f>
        <v>592</v>
      </c>
    </row>
    <row r="87" spans="1:253" ht="24" customHeight="1" x14ac:dyDescent="0.3">
      <c r="A87" s="141">
        <v>67</v>
      </c>
      <c r="B87" s="94" t="s">
        <v>411</v>
      </c>
      <c r="C87" s="199" t="s">
        <v>412</v>
      </c>
      <c r="D87" s="199"/>
      <c r="E87" s="199"/>
      <c r="F87" s="95"/>
      <c r="G87" s="94" t="s">
        <v>323</v>
      </c>
      <c r="H87" s="97">
        <v>0.27</v>
      </c>
      <c r="I87" s="95"/>
      <c r="HV87" s="18" t="s">
        <v>398</v>
      </c>
      <c r="HW87" s="18" t="s">
        <v>161</v>
      </c>
      <c r="IR87" s="142">
        <f>6485*0</f>
        <v>0</v>
      </c>
      <c r="IS87" s="142">
        <f>6485*(1-0)</f>
        <v>6485</v>
      </c>
    </row>
    <row r="88" spans="1:253" ht="15" customHeight="1" x14ac:dyDescent="0.3">
      <c r="A88" s="141">
        <v>68</v>
      </c>
      <c r="B88" s="94" t="s">
        <v>414</v>
      </c>
      <c r="C88" s="199" t="s">
        <v>415</v>
      </c>
      <c r="D88" s="199"/>
      <c r="E88" s="199"/>
      <c r="F88" s="95"/>
      <c r="G88" s="94" t="s">
        <v>323</v>
      </c>
      <c r="H88" s="97">
        <v>2.61</v>
      </c>
      <c r="I88" s="95"/>
      <c r="HV88" s="18" t="s">
        <v>398</v>
      </c>
      <c r="HW88" s="18" t="s">
        <v>161</v>
      </c>
      <c r="IR88" s="142">
        <f>6485*0</f>
        <v>0</v>
      </c>
      <c r="IS88" s="142">
        <f>6485*(1-0)</f>
        <v>6485</v>
      </c>
    </row>
    <row r="89" spans="1:253" ht="15" customHeight="1" x14ac:dyDescent="0.3">
      <c r="A89" s="141">
        <v>69</v>
      </c>
      <c r="B89" s="94" t="s">
        <v>417</v>
      </c>
      <c r="C89" s="199" t="s">
        <v>418</v>
      </c>
      <c r="D89" s="199"/>
      <c r="E89" s="199"/>
      <c r="F89" s="95"/>
      <c r="G89" s="94" t="s">
        <v>323</v>
      </c>
      <c r="H89" s="97">
        <v>1.7150000000000001</v>
      </c>
      <c r="I89" s="95" t="s">
        <v>896</v>
      </c>
      <c r="HV89" s="18" t="s">
        <v>398</v>
      </c>
      <c r="HW89" s="18" t="s">
        <v>161</v>
      </c>
      <c r="IR89" s="142">
        <f>3080*0</f>
        <v>0</v>
      </c>
      <c r="IS89" s="142">
        <f>3080*(1-0)</f>
        <v>3080</v>
      </c>
    </row>
    <row r="90" spans="1:253" ht="15" customHeight="1" x14ac:dyDescent="0.3">
      <c r="A90" s="141">
        <v>70</v>
      </c>
      <c r="B90" s="94" t="s">
        <v>420</v>
      </c>
      <c r="C90" s="199" t="s">
        <v>421</v>
      </c>
      <c r="D90" s="199"/>
      <c r="E90" s="199"/>
      <c r="F90" s="95"/>
      <c r="G90" s="94" t="s">
        <v>323</v>
      </c>
      <c r="H90" s="97">
        <v>0.55300000000000005</v>
      </c>
      <c r="I90" s="95" t="s">
        <v>896</v>
      </c>
      <c r="HV90" s="18" t="s">
        <v>398</v>
      </c>
      <c r="HW90" s="18" t="s">
        <v>161</v>
      </c>
      <c r="IR90" s="142">
        <f>3080*0</f>
        <v>0</v>
      </c>
      <c r="IS90" s="142">
        <f>3080*(1-0)</f>
        <v>3080</v>
      </c>
    </row>
    <row r="91" spans="1:253" ht="15" customHeight="1" x14ac:dyDescent="0.3">
      <c r="A91" s="141">
        <v>71</v>
      </c>
      <c r="B91" s="94" t="s">
        <v>423</v>
      </c>
      <c r="C91" s="199" t="s">
        <v>424</v>
      </c>
      <c r="D91" s="199"/>
      <c r="E91" s="199"/>
      <c r="F91" s="95"/>
      <c r="G91" s="94" t="s">
        <v>323</v>
      </c>
      <c r="H91" s="97">
        <v>2.5539999999999998</v>
      </c>
      <c r="I91" s="95"/>
      <c r="HV91" s="18" t="s">
        <v>398</v>
      </c>
      <c r="HW91" s="18" t="s">
        <v>161</v>
      </c>
      <c r="IR91" s="142">
        <f>1677*0</f>
        <v>0</v>
      </c>
      <c r="IS91" s="142">
        <f>1677*(1-0)</f>
        <v>1677</v>
      </c>
    </row>
    <row r="92" spans="1:253" ht="15" customHeight="1" x14ac:dyDescent="0.3">
      <c r="A92" s="141">
        <v>72</v>
      </c>
      <c r="B92" s="94" t="s">
        <v>426</v>
      </c>
      <c r="C92" s="199" t="s">
        <v>427</v>
      </c>
      <c r="D92" s="199"/>
      <c r="E92" s="199"/>
      <c r="F92" s="95"/>
      <c r="G92" s="94" t="s">
        <v>323</v>
      </c>
      <c r="H92" s="97">
        <v>2.0249999999999999</v>
      </c>
      <c r="I92" s="95" t="s">
        <v>897</v>
      </c>
      <c r="HV92" s="18" t="s">
        <v>398</v>
      </c>
      <c r="HW92" s="18" t="s">
        <v>161</v>
      </c>
      <c r="IR92" s="142">
        <f>6485*0</f>
        <v>0</v>
      </c>
      <c r="IS92" s="142">
        <f>6485*(1-0)</f>
        <v>6485</v>
      </c>
    </row>
    <row r="93" spans="1:253" ht="15" customHeight="1" x14ac:dyDescent="0.3">
      <c r="A93" s="141">
        <v>73</v>
      </c>
      <c r="B93" s="94" t="s">
        <v>429</v>
      </c>
      <c r="C93" s="199" t="s">
        <v>430</v>
      </c>
      <c r="D93" s="199"/>
      <c r="E93" s="199"/>
      <c r="F93" s="95"/>
      <c r="G93" s="94" t="s">
        <v>323</v>
      </c>
      <c r="H93" s="97">
        <v>3.8879999999999999</v>
      </c>
      <c r="I93" s="95"/>
      <c r="HV93" s="18" t="s">
        <v>398</v>
      </c>
      <c r="HW93" s="18" t="s">
        <v>161</v>
      </c>
      <c r="IR93" s="142">
        <f>6485*0</f>
        <v>0</v>
      </c>
      <c r="IS93" s="142">
        <f>6485*(1-0)</f>
        <v>6485</v>
      </c>
    </row>
    <row r="94" spans="1:253" ht="24" customHeight="1" x14ac:dyDescent="0.3">
      <c r="A94" s="141">
        <v>74</v>
      </c>
      <c r="B94" s="94" t="s">
        <v>432</v>
      </c>
      <c r="C94" s="199" t="s">
        <v>433</v>
      </c>
      <c r="D94" s="199"/>
      <c r="E94" s="199"/>
      <c r="F94" s="95"/>
      <c r="G94" s="94" t="s">
        <v>323</v>
      </c>
      <c r="H94" s="97">
        <v>605.73099999999999</v>
      </c>
      <c r="I94" s="95"/>
      <c r="HV94" s="18" t="s">
        <v>398</v>
      </c>
      <c r="HW94" s="18" t="s">
        <v>161</v>
      </c>
      <c r="IR94" s="142">
        <f>394.5*0</f>
        <v>0</v>
      </c>
      <c r="IS94" s="142">
        <f>394.5*(1-0)</f>
        <v>394.5</v>
      </c>
    </row>
    <row r="95" spans="1:253" ht="15" customHeight="1" x14ac:dyDescent="0.3">
      <c r="A95" s="141">
        <v>75</v>
      </c>
      <c r="B95" s="94" t="s">
        <v>435</v>
      </c>
      <c r="C95" s="199" t="s">
        <v>436</v>
      </c>
      <c r="D95" s="199"/>
      <c r="E95" s="199"/>
      <c r="F95" s="95"/>
      <c r="G95" s="94" t="s">
        <v>323</v>
      </c>
      <c r="H95" s="97">
        <v>0.97699999999999998</v>
      </c>
      <c r="I95" s="95"/>
      <c r="HV95" s="18" t="s">
        <v>398</v>
      </c>
      <c r="HW95" s="18" t="s">
        <v>161</v>
      </c>
      <c r="IR95" s="142">
        <f>315.5*0</f>
        <v>0</v>
      </c>
      <c r="IS95" s="142">
        <f>315.5*(1-0)</f>
        <v>315.5</v>
      </c>
    </row>
    <row r="96" spans="1:253" ht="58.35" customHeight="1" x14ac:dyDescent="0.3">
      <c r="A96" s="141">
        <v>76</v>
      </c>
      <c r="B96" s="94" t="s">
        <v>438</v>
      </c>
      <c r="C96" s="199" t="s">
        <v>439</v>
      </c>
      <c r="D96" s="199"/>
      <c r="E96" s="199"/>
      <c r="F96" s="95"/>
      <c r="G96" s="94" t="s">
        <v>323</v>
      </c>
      <c r="H96" s="97">
        <v>287.60199999999998</v>
      </c>
      <c r="I96" s="95" t="s">
        <v>898</v>
      </c>
      <c r="HV96" s="18" t="s">
        <v>398</v>
      </c>
      <c r="HW96" s="18" t="s">
        <v>161</v>
      </c>
      <c r="IR96" s="142">
        <f>520*0</f>
        <v>0</v>
      </c>
      <c r="IS96" s="142">
        <f>520*(1-0)</f>
        <v>520</v>
      </c>
    </row>
    <row r="97" spans="1:253" ht="15" customHeight="1" x14ac:dyDescent="0.3">
      <c r="A97" s="141">
        <v>77</v>
      </c>
      <c r="B97" s="94" t="s">
        <v>441</v>
      </c>
      <c r="C97" s="199" t="s">
        <v>442</v>
      </c>
      <c r="D97" s="199"/>
      <c r="E97" s="199"/>
      <c r="F97" s="95"/>
      <c r="G97" s="94" t="s">
        <v>323</v>
      </c>
      <c r="H97" s="97">
        <v>287.60199999999998</v>
      </c>
      <c r="I97" s="95"/>
      <c r="HV97" s="18" t="s">
        <v>398</v>
      </c>
      <c r="HW97" s="18" t="s">
        <v>161</v>
      </c>
      <c r="IR97" s="142">
        <f>331.99*0</f>
        <v>0</v>
      </c>
      <c r="IS97" s="142">
        <f>331.99*(1-0)</f>
        <v>331.99</v>
      </c>
    </row>
    <row r="98" spans="1:253" ht="24" customHeight="1" x14ac:dyDescent="0.3">
      <c r="A98" s="141">
        <v>78</v>
      </c>
      <c r="B98" s="94" t="s">
        <v>444</v>
      </c>
      <c r="C98" s="199" t="s">
        <v>445</v>
      </c>
      <c r="D98" s="199"/>
      <c r="E98" s="199"/>
      <c r="F98" s="95"/>
      <c r="G98" s="94" t="s">
        <v>323</v>
      </c>
      <c r="H98" s="97">
        <v>47.296999999999997</v>
      </c>
      <c r="I98" s="95" t="s">
        <v>899</v>
      </c>
      <c r="HV98" s="18" t="s">
        <v>398</v>
      </c>
      <c r="HW98" s="18" t="s">
        <v>161</v>
      </c>
      <c r="IR98" s="142">
        <f>479*0</f>
        <v>0</v>
      </c>
      <c r="IS98" s="142">
        <f>479*(1-0)</f>
        <v>479</v>
      </c>
    </row>
    <row r="99" spans="1:253" ht="15" customHeight="1" x14ac:dyDescent="0.3">
      <c r="A99" s="141">
        <v>79</v>
      </c>
      <c r="B99" s="94" t="s">
        <v>447</v>
      </c>
      <c r="C99" s="199" t="s">
        <v>448</v>
      </c>
      <c r="D99" s="199"/>
      <c r="E99" s="199"/>
      <c r="F99" s="95"/>
      <c r="G99" s="94" t="s">
        <v>323</v>
      </c>
      <c r="H99" s="97">
        <v>94.593999999999994</v>
      </c>
      <c r="I99" s="95"/>
      <c r="HV99" s="18" t="s">
        <v>398</v>
      </c>
      <c r="HW99" s="18" t="s">
        <v>161</v>
      </c>
      <c r="IR99" s="142">
        <f>53.4*0</f>
        <v>0</v>
      </c>
      <c r="IS99" s="142">
        <f>53.4*(1-0)</f>
        <v>53.4</v>
      </c>
    </row>
    <row r="100" spans="1:253" ht="15" customHeight="1" x14ac:dyDescent="0.3">
      <c r="A100" s="141">
        <v>80</v>
      </c>
      <c r="B100" s="94" t="s">
        <v>450</v>
      </c>
      <c r="C100" s="199" t="s">
        <v>451</v>
      </c>
      <c r="D100" s="199"/>
      <c r="E100" s="199"/>
      <c r="F100" s="95"/>
      <c r="G100" s="94" t="s">
        <v>323</v>
      </c>
      <c r="H100" s="97">
        <v>47.296999999999997</v>
      </c>
      <c r="I100" s="95"/>
      <c r="HV100" s="18" t="s">
        <v>398</v>
      </c>
      <c r="HW100" s="18" t="s">
        <v>161</v>
      </c>
      <c r="IR100" s="142">
        <f>393.5*0</f>
        <v>0</v>
      </c>
      <c r="IS100" s="142">
        <f>393.5*(1-0)</f>
        <v>393.5</v>
      </c>
    </row>
    <row r="101" spans="1:253" ht="15" customHeight="1" x14ac:dyDescent="0.3">
      <c r="A101" s="141">
        <v>81</v>
      </c>
      <c r="B101" s="94" t="s">
        <v>453</v>
      </c>
      <c r="C101" s="199" t="s">
        <v>454</v>
      </c>
      <c r="D101" s="199"/>
      <c r="E101" s="199"/>
      <c r="F101" s="95"/>
      <c r="G101" s="94" t="s">
        <v>323</v>
      </c>
      <c r="H101" s="97">
        <v>862.80700000000002</v>
      </c>
      <c r="I101" s="95"/>
      <c r="HV101" s="18" t="s">
        <v>398</v>
      </c>
      <c r="HW101" s="18" t="s">
        <v>161</v>
      </c>
      <c r="IR101" s="142">
        <f>330.49*0</f>
        <v>0</v>
      </c>
      <c r="IS101" s="142">
        <f>330.49*(1-0)</f>
        <v>330.49</v>
      </c>
    </row>
    <row r="102" spans="1:253" ht="15" customHeight="1" x14ac:dyDescent="0.3">
      <c r="A102" s="141">
        <v>82</v>
      </c>
      <c r="B102" s="94" t="s">
        <v>456</v>
      </c>
      <c r="C102" s="199" t="s">
        <v>457</v>
      </c>
      <c r="D102" s="199"/>
      <c r="E102" s="199"/>
      <c r="F102" s="95"/>
      <c r="G102" s="94" t="s">
        <v>323</v>
      </c>
      <c r="H102" s="97">
        <v>6902.4560000000001</v>
      </c>
      <c r="I102" s="95"/>
      <c r="HV102" s="18" t="s">
        <v>398</v>
      </c>
      <c r="HW102" s="18" t="s">
        <v>161</v>
      </c>
      <c r="IR102" s="142">
        <f>28.2*0</f>
        <v>0</v>
      </c>
      <c r="IS102" s="142">
        <f>28.2*(1-0)</f>
        <v>28.2</v>
      </c>
    </row>
    <row r="103" spans="1:253" ht="15" customHeight="1" x14ac:dyDescent="0.3">
      <c r="A103" s="141">
        <v>83</v>
      </c>
      <c r="B103" s="94" t="s">
        <v>459</v>
      </c>
      <c r="C103" s="199" t="s">
        <v>460</v>
      </c>
      <c r="D103" s="199"/>
      <c r="E103" s="199"/>
      <c r="F103" s="95"/>
      <c r="G103" s="94" t="s">
        <v>323</v>
      </c>
      <c r="H103" s="97">
        <v>0.72599999999999998</v>
      </c>
      <c r="I103" s="95"/>
      <c r="HV103" s="18" t="s">
        <v>398</v>
      </c>
      <c r="HW103" s="18" t="s">
        <v>161</v>
      </c>
      <c r="IR103" s="142">
        <f>-3999.84*0</f>
        <v>0</v>
      </c>
      <c r="IS103" s="142">
        <f>-3999.84*(1-0)</f>
        <v>-3999.84</v>
      </c>
    </row>
    <row r="104" spans="1:253" ht="15" customHeight="1" x14ac:dyDescent="0.3">
      <c r="A104" s="141">
        <v>84</v>
      </c>
      <c r="B104" s="94" t="s">
        <v>462</v>
      </c>
      <c r="C104" s="199" t="s">
        <v>463</v>
      </c>
      <c r="D104" s="199"/>
      <c r="E104" s="199"/>
      <c r="F104" s="95"/>
      <c r="G104" s="94" t="s">
        <v>323</v>
      </c>
      <c r="H104" s="97">
        <v>3.0649999999999999</v>
      </c>
      <c r="I104" s="95"/>
      <c r="HV104" s="18" t="s">
        <v>398</v>
      </c>
      <c r="HW104" s="18" t="s">
        <v>161</v>
      </c>
      <c r="IR104" s="142">
        <f>-2699.4*0</f>
        <v>0</v>
      </c>
      <c r="IS104" s="142">
        <f>-2699.4*(1-0)</f>
        <v>-2699.4</v>
      </c>
    </row>
    <row r="105" spans="1:253" ht="15" customHeight="1" x14ac:dyDescent="0.3">
      <c r="A105" s="141">
        <v>85</v>
      </c>
      <c r="B105" s="94" t="s">
        <v>465</v>
      </c>
      <c r="C105" s="199" t="s">
        <v>466</v>
      </c>
      <c r="D105" s="199"/>
      <c r="E105" s="199"/>
      <c r="F105" s="95"/>
      <c r="G105" s="94" t="s">
        <v>323</v>
      </c>
      <c r="H105" s="97">
        <v>0.219</v>
      </c>
      <c r="I105" s="95"/>
      <c r="HV105" s="18" t="s">
        <v>398</v>
      </c>
      <c r="HW105" s="18" t="s">
        <v>161</v>
      </c>
      <c r="IR105" s="142">
        <f>-22000.01*0</f>
        <v>0</v>
      </c>
      <c r="IS105" s="142">
        <f>-22000.01*(1-0)</f>
        <v>-22000.01</v>
      </c>
    </row>
    <row r="106" spans="1:253" ht="15" customHeight="1" x14ac:dyDescent="0.3">
      <c r="A106" s="89" t="s">
        <v>96</v>
      </c>
      <c r="B106" s="89"/>
      <c r="C106" s="198" t="s">
        <v>107</v>
      </c>
      <c r="D106" s="198"/>
      <c r="E106" s="198"/>
      <c r="F106" s="89" t="s">
        <v>96</v>
      </c>
      <c r="G106" s="89" t="s">
        <v>96</v>
      </c>
      <c r="H106" s="92" t="s">
        <v>96</v>
      </c>
      <c r="I106" s="89" t="s">
        <v>96</v>
      </c>
    </row>
    <row r="107" spans="1:253" ht="15" customHeight="1" x14ac:dyDescent="0.3">
      <c r="A107" s="89" t="s">
        <v>96</v>
      </c>
      <c r="B107" s="89" t="s">
        <v>203</v>
      </c>
      <c r="C107" s="198" t="s">
        <v>467</v>
      </c>
      <c r="D107" s="198"/>
      <c r="E107" s="198"/>
      <c r="F107" s="89" t="s">
        <v>96</v>
      </c>
      <c r="G107" s="89" t="s">
        <v>96</v>
      </c>
      <c r="H107" s="92" t="s">
        <v>96</v>
      </c>
      <c r="I107" s="89" t="s">
        <v>96</v>
      </c>
    </row>
    <row r="108" spans="1:253" ht="92.7" customHeight="1" x14ac:dyDescent="0.3">
      <c r="A108" s="141">
        <v>86</v>
      </c>
      <c r="B108" s="94" t="s">
        <v>469</v>
      </c>
      <c r="C108" s="199" t="s">
        <v>470</v>
      </c>
      <c r="D108" s="199"/>
      <c r="E108" s="199"/>
      <c r="F108" s="95"/>
      <c r="G108" s="94" t="s">
        <v>155</v>
      </c>
      <c r="H108" s="97">
        <v>202.381</v>
      </c>
      <c r="I108" s="95" t="s">
        <v>900</v>
      </c>
      <c r="HV108" s="18" t="s">
        <v>203</v>
      </c>
      <c r="HW108" s="18" t="s">
        <v>161</v>
      </c>
      <c r="IR108" s="142">
        <f>50.1*0</f>
        <v>0</v>
      </c>
      <c r="IS108" s="142">
        <f>50.1*(1-0)</f>
        <v>50.1</v>
      </c>
    </row>
    <row r="109" spans="1:253" ht="15" customHeight="1" x14ac:dyDescent="0.3">
      <c r="A109" s="89" t="s">
        <v>96</v>
      </c>
      <c r="B109" s="89" t="s">
        <v>223</v>
      </c>
      <c r="C109" s="198" t="s">
        <v>474</v>
      </c>
      <c r="D109" s="198"/>
      <c r="E109" s="198"/>
      <c r="F109" s="89" t="s">
        <v>96</v>
      </c>
      <c r="G109" s="89" t="s">
        <v>96</v>
      </c>
      <c r="H109" s="92" t="s">
        <v>96</v>
      </c>
      <c r="I109" s="89" t="s">
        <v>96</v>
      </c>
    </row>
    <row r="110" spans="1:253" ht="15" customHeight="1" x14ac:dyDescent="0.3">
      <c r="A110" s="141">
        <v>87</v>
      </c>
      <c r="B110" s="94" t="s">
        <v>476</v>
      </c>
      <c r="C110" s="199" t="s">
        <v>477</v>
      </c>
      <c r="D110" s="199"/>
      <c r="E110" s="199"/>
      <c r="F110" s="95"/>
      <c r="G110" s="94" t="s">
        <v>366</v>
      </c>
      <c r="H110" s="97">
        <v>71.153999999999996</v>
      </c>
      <c r="I110" s="95"/>
      <c r="HV110" s="18" t="s">
        <v>223</v>
      </c>
      <c r="HW110" s="18" t="s">
        <v>161</v>
      </c>
      <c r="IR110" s="142">
        <f>130.01*0</f>
        <v>0</v>
      </c>
      <c r="IS110" s="142">
        <f>130.01*(1-0)</f>
        <v>130.01</v>
      </c>
    </row>
    <row r="111" spans="1:253" ht="24" customHeight="1" x14ac:dyDescent="0.3">
      <c r="A111" s="141">
        <v>88</v>
      </c>
      <c r="B111" s="94" t="s">
        <v>480</v>
      </c>
      <c r="C111" s="199" t="s">
        <v>481</v>
      </c>
      <c r="D111" s="199"/>
      <c r="E111" s="199"/>
      <c r="F111" s="95"/>
      <c r="G111" s="94" t="s">
        <v>366</v>
      </c>
      <c r="H111" s="97">
        <v>569.23199999999997</v>
      </c>
      <c r="I111" s="95" t="s">
        <v>901</v>
      </c>
      <c r="HV111" s="18" t="s">
        <v>223</v>
      </c>
      <c r="HW111" s="18" t="s">
        <v>161</v>
      </c>
      <c r="IR111" s="142">
        <f>25.8*0</f>
        <v>0</v>
      </c>
      <c r="IS111" s="142">
        <f>25.8*(1-0)</f>
        <v>25.8</v>
      </c>
    </row>
    <row r="112" spans="1:253" ht="15" customHeight="1" x14ac:dyDescent="0.3">
      <c r="A112" s="89" t="s">
        <v>96</v>
      </c>
      <c r="B112" s="89" t="s">
        <v>228</v>
      </c>
      <c r="C112" s="198" t="s">
        <v>482</v>
      </c>
      <c r="D112" s="198"/>
      <c r="E112" s="198"/>
      <c r="F112" s="89" t="s">
        <v>96</v>
      </c>
      <c r="G112" s="89" t="s">
        <v>96</v>
      </c>
      <c r="H112" s="92" t="s">
        <v>96</v>
      </c>
      <c r="I112" s="89" t="s">
        <v>96</v>
      </c>
    </row>
    <row r="113" spans="1:253" ht="35.549999999999997" customHeight="1" x14ac:dyDescent="0.3">
      <c r="A113" s="141">
        <v>89</v>
      </c>
      <c r="B113" s="94" t="s">
        <v>484</v>
      </c>
      <c r="C113" s="199" t="s">
        <v>485</v>
      </c>
      <c r="D113" s="199"/>
      <c r="E113" s="199"/>
      <c r="F113" s="95"/>
      <c r="G113" s="94" t="s">
        <v>366</v>
      </c>
      <c r="H113" s="97">
        <v>71.153999999999996</v>
      </c>
      <c r="I113" s="95" t="s">
        <v>902</v>
      </c>
      <c r="HV113" s="18" t="s">
        <v>228</v>
      </c>
      <c r="HW113" s="18" t="s">
        <v>161</v>
      </c>
      <c r="IR113" s="142">
        <f>111*0</f>
        <v>0</v>
      </c>
      <c r="IS113" s="142">
        <f>111*(1-0)</f>
        <v>111</v>
      </c>
    </row>
    <row r="114" spans="1:253" ht="24" customHeight="1" x14ac:dyDescent="0.3">
      <c r="A114" s="143">
        <v>90</v>
      </c>
      <c r="B114" s="105" t="s">
        <v>487</v>
      </c>
      <c r="C114" s="201" t="s">
        <v>488</v>
      </c>
      <c r="D114" s="201"/>
      <c r="E114" s="201"/>
      <c r="F114" s="95"/>
      <c r="G114" s="105" t="s">
        <v>323</v>
      </c>
      <c r="H114" s="108">
        <v>113.846</v>
      </c>
      <c r="I114" s="106"/>
      <c r="HV114" s="144" t="s">
        <v>228</v>
      </c>
      <c r="HW114" s="144" t="s">
        <v>489</v>
      </c>
      <c r="IR114" s="145">
        <f>378*1</f>
        <v>378</v>
      </c>
      <c r="IS114" s="145">
        <f>378*(1-1)</f>
        <v>0</v>
      </c>
    </row>
    <row r="115" spans="1:253" ht="15" customHeight="1" x14ac:dyDescent="0.3">
      <c r="A115" s="89" t="s">
        <v>96</v>
      </c>
      <c r="B115" s="89" t="s">
        <v>324</v>
      </c>
      <c r="C115" s="198" t="s">
        <v>325</v>
      </c>
      <c r="D115" s="198"/>
      <c r="E115" s="198"/>
      <c r="F115" s="89" t="s">
        <v>96</v>
      </c>
      <c r="G115" s="89" t="s">
        <v>96</v>
      </c>
      <c r="H115" s="92" t="s">
        <v>96</v>
      </c>
      <c r="I115" s="89" t="s">
        <v>96</v>
      </c>
    </row>
    <row r="116" spans="1:253" ht="104.25" customHeight="1" x14ac:dyDescent="0.3">
      <c r="A116" s="141">
        <v>91</v>
      </c>
      <c r="B116" s="94" t="s">
        <v>374</v>
      </c>
      <c r="C116" s="199" t="s">
        <v>375</v>
      </c>
      <c r="D116" s="199"/>
      <c r="E116" s="199"/>
      <c r="F116" s="95" t="s">
        <v>893</v>
      </c>
      <c r="G116" s="94" t="s">
        <v>366</v>
      </c>
      <c r="H116" s="97">
        <v>9</v>
      </c>
      <c r="I116" s="95" t="s">
        <v>894</v>
      </c>
      <c r="HV116" s="18" t="s">
        <v>324</v>
      </c>
      <c r="HW116" s="18" t="s">
        <v>161</v>
      </c>
      <c r="IR116" s="142">
        <f>2395*0</f>
        <v>0</v>
      </c>
      <c r="IS116" s="142">
        <f>2395*(1-0)</f>
        <v>2395</v>
      </c>
    </row>
    <row r="117" spans="1:253" ht="35.549999999999997" customHeight="1" x14ac:dyDescent="0.3">
      <c r="A117" s="141">
        <v>92</v>
      </c>
      <c r="B117" s="94" t="s">
        <v>371</v>
      </c>
      <c r="C117" s="199" t="s">
        <v>372</v>
      </c>
      <c r="D117" s="199"/>
      <c r="E117" s="199"/>
      <c r="F117" s="95"/>
      <c r="G117" s="94" t="s">
        <v>366</v>
      </c>
      <c r="H117" s="97">
        <v>6</v>
      </c>
      <c r="I117" s="95" t="s">
        <v>890</v>
      </c>
      <c r="HV117" s="18" t="s">
        <v>324</v>
      </c>
      <c r="HW117" s="18" t="s">
        <v>161</v>
      </c>
      <c r="IR117" s="142">
        <f>4810*0</f>
        <v>0</v>
      </c>
      <c r="IS117" s="142">
        <f>4810*(1-0)</f>
        <v>4810</v>
      </c>
    </row>
    <row r="118" spans="1:253" ht="15" customHeight="1" x14ac:dyDescent="0.3">
      <c r="A118" s="89" t="s">
        <v>96</v>
      </c>
      <c r="B118" s="89" t="s">
        <v>376</v>
      </c>
      <c r="C118" s="198" t="s">
        <v>377</v>
      </c>
      <c r="D118" s="198"/>
      <c r="E118" s="198"/>
      <c r="F118" s="89" t="s">
        <v>96</v>
      </c>
      <c r="G118" s="89" t="s">
        <v>96</v>
      </c>
      <c r="H118" s="92" t="s">
        <v>96</v>
      </c>
      <c r="I118" s="89" t="s">
        <v>96</v>
      </c>
    </row>
    <row r="119" spans="1:253" ht="35.549999999999997" customHeight="1" x14ac:dyDescent="0.3">
      <c r="A119" s="141">
        <v>93</v>
      </c>
      <c r="B119" s="94" t="s">
        <v>379</v>
      </c>
      <c r="C119" s="199" t="s">
        <v>494</v>
      </c>
      <c r="D119" s="199"/>
      <c r="E119" s="199"/>
      <c r="F119" s="95"/>
      <c r="G119" s="94" t="s">
        <v>176</v>
      </c>
      <c r="H119" s="97">
        <v>10</v>
      </c>
      <c r="I119" s="95" t="s">
        <v>889</v>
      </c>
      <c r="HV119" s="18" t="s">
        <v>376</v>
      </c>
      <c r="HW119" s="18" t="s">
        <v>161</v>
      </c>
      <c r="IR119" s="142">
        <f>304.49*0</f>
        <v>0</v>
      </c>
      <c r="IS119" s="142">
        <f>304.49*(1-0)</f>
        <v>304.49</v>
      </c>
    </row>
    <row r="120" spans="1:253" ht="15" customHeight="1" x14ac:dyDescent="0.3">
      <c r="A120" s="89" t="s">
        <v>96</v>
      </c>
      <c r="B120" s="89" t="s">
        <v>398</v>
      </c>
      <c r="C120" s="198" t="s">
        <v>399</v>
      </c>
      <c r="D120" s="198"/>
      <c r="E120" s="198"/>
      <c r="F120" s="89" t="s">
        <v>96</v>
      </c>
      <c r="G120" s="89" t="s">
        <v>96</v>
      </c>
      <c r="H120" s="92" t="s">
        <v>96</v>
      </c>
      <c r="I120" s="89" t="s">
        <v>96</v>
      </c>
    </row>
    <row r="121" spans="1:253" ht="15" customHeight="1" x14ac:dyDescent="0.3">
      <c r="A121" s="141">
        <v>94</v>
      </c>
      <c r="B121" s="94" t="s">
        <v>453</v>
      </c>
      <c r="C121" s="199" t="s">
        <v>454</v>
      </c>
      <c r="D121" s="199"/>
      <c r="E121" s="199"/>
      <c r="F121" s="95"/>
      <c r="G121" s="94" t="s">
        <v>323</v>
      </c>
      <c r="H121" s="97">
        <v>98.585999999999999</v>
      </c>
      <c r="I121" s="95"/>
      <c r="HV121" s="18" t="s">
        <v>398</v>
      </c>
      <c r="HW121" s="18" t="s">
        <v>161</v>
      </c>
      <c r="IR121" s="142">
        <f>330.49*0</f>
        <v>0</v>
      </c>
      <c r="IS121" s="142">
        <f>330.49*(1-0)</f>
        <v>330.49</v>
      </c>
    </row>
    <row r="122" spans="1:253" ht="15" customHeight="1" x14ac:dyDescent="0.3">
      <c r="A122" s="141">
        <v>95</v>
      </c>
      <c r="B122" s="94" t="s">
        <v>456</v>
      </c>
      <c r="C122" s="199" t="s">
        <v>457</v>
      </c>
      <c r="D122" s="199"/>
      <c r="E122" s="199"/>
      <c r="F122" s="95"/>
      <c r="G122" s="94" t="s">
        <v>323</v>
      </c>
      <c r="H122" s="97">
        <v>788.68799999999999</v>
      </c>
      <c r="I122" s="95"/>
      <c r="HV122" s="18" t="s">
        <v>398</v>
      </c>
      <c r="HW122" s="18" t="s">
        <v>161</v>
      </c>
      <c r="IR122" s="142">
        <f>28.2*0</f>
        <v>0</v>
      </c>
      <c r="IS122" s="142">
        <f>28.2*(1-0)</f>
        <v>28.2</v>
      </c>
    </row>
    <row r="123" spans="1:253" ht="24" customHeight="1" x14ac:dyDescent="0.3">
      <c r="A123" s="141">
        <v>96</v>
      </c>
      <c r="B123" s="94" t="s">
        <v>405</v>
      </c>
      <c r="C123" s="199" t="s">
        <v>406</v>
      </c>
      <c r="D123" s="199"/>
      <c r="E123" s="199"/>
      <c r="F123" s="95"/>
      <c r="G123" s="94" t="s">
        <v>323</v>
      </c>
      <c r="H123" s="97">
        <v>98.585999999999999</v>
      </c>
      <c r="I123" s="95" t="s">
        <v>903</v>
      </c>
      <c r="HV123" s="18" t="s">
        <v>398</v>
      </c>
      <c r="HW123" s="18" t="s">
        <v>161</v>
      </c>
      <c r="IR123" s="142">
        <f>128.5*0</f>
        <v>0</v>
      </c>
      <c r="IS123" s="142">
        <f>128.5*(1-0)</f>
        <v>128.5</v>
      </c>
    </row>
    <row r="124" spans="1:253" ht="15" customHeight="1" x14ac:dyDescent="0.3">
      <c r="A124" s="89" t="s">
        <v>96</v>
      </c>
      <c r="B124" s="89"/>
      <c r="C124" s="198" t="s">
        <v>109</v>
      </c>
      <c r="D124" s="198"/>
      <c r="E124" s="198"/>
      <c r="F124" s="89" t="s">
        <v>96</v>
      </c>
      <c r="G124" s="89" t="s">
        <v>96</v>
      </c>
      <c r="H124" s="92" t="s">
        <v>96</v>
      </c>
      <c r="I124" s="89" t="s">
        <v>96</v>
      </c>
    </row>
    <row r="125" spans="1:253" ht="15" customHeight="1" x14ac:dyDescent="0.3">
      <c r="A125" s="89" t="s">
        <v>96</v>
      </c>
      <c r="B125" s="89" t="s">
        <v>203</v>
      </c>
      <c r="C125" s="198" t="s">
        <v>467</v>
      </c>
      <c r="D125" s="198"/>
      <c r="E125" s="198"/>
      <c r="F125" s="89" t="s">
        <v>96</v>
      </c>
      <c r="G125" s="89" t="s">
        <v>96</v>
      </c>
      <c r="H125" s="92" t="s">
        <v>96</v>
      </c>
      <c r="I125" s="89" t="s">
        <v>96</v>
      </c>
    </row>
    <row r="126" spans="1:253" ht="104.25" customHeight="1" x14ac:dyDescent="0.3">
      <c r="A126" s="141">
        <v>97</v>
      </c>
      <c r="B126" s="94" t="s">
        <v>496</v>
      </c>
      <c r="C126" s="199" t="s">
        <v>497</v>
      </c>
      <c r="D126" s="199"/>
      <c r="E126" s="199"/>
      <c r="F126" s="95"/>
      <c r="G126" s="94" t="s">
        <v>155</v>
      </c>
      <c r="H126" s="97">
        <v>108.72499999999999</v>
      </c>
      <c r="I126" s="95" t="s">
        <v>904</v>
      </c>
      <c r="HV126" s="18" t="s">
        <v>203</v>
      </c>
      <c r="HW126" s="18" t="s">
        <v>161</v>
      </c>
      <c r="IR126" s="142">
        <f>92.4*0</f>
        <v>0</v>
      </c>
      <c r="IS126" s="142">
        <f>92.4*(1-0)</f>
        <v>92.4</v>
      </c>
    </row>
    <row r="127" spans="1:253" ht="15" customHeight="1" x14ac:dyDescent="0.3">
      <c r="A127" s="141">
        <v>98</v>
      </c>
      <c r="B127" s="94" t="s">
        <v>500</v>
      </c>
      <c r="C127" s="199" t="s">
        <v>501</v>
      </c>
      <c r="D127" s="199"/>
      <c r="E127" s="199"/>
      <c r="F127" s="95"/>
      <c r="G127" s="94" t="s">
        <v>212</v>
      </c>
      <c r="H127" s="97">
        <v>2</v>
      </c>
      <c r="I127" s="95"/>
      <c r="HV127" s="18" t="s">
        <v>203</v>
      </c>
      <c r="HW127" s="18" t="s">
        <v>161</v>
      </c>
      <c r="IR127" s="142">
        <f>2795.01*0</f>
        <v>0</v>
      </c>
      <c r="IS127" s="142">
        <f>2795.01*(1-0)</f>
        <v>2795.01</v>
      </c>
    </row>
    <row r="128" spans="1:253" ht="15" customHeight="1" x14ac:dyDescent="0.3">
      <c r="A128" s="141">
        <v>99</v>
      </c>
      <c r="B128" s="94" t="s">
        <v>503</v>
      </c>
      <c r="C128" s="199" t="s">
        <v>504</v>
      </c>
      <c r="D128" s="199"/>
      <c r="E128" s="199"/>
      <c r="F128" s="95"/>
      <c r="G128" s="94" t="s">
        <v>212</v>
      </c>
      <c r="H128" s="97">
        <v>2</v>
      </c>
      <c r="I128" s="95"/>
      <c r="HV128" s="18" t="s">
        <v>203</v>
      </c>
      <c r="HW128" s="18" t="s">
        <v>161</v>
      </c>
      <c r="IR128" s="142">
        <f>4349.99*0</f>
        <v>0</v>
      </c>
      <c r="IS128" s="142">
        <f>4349.99*(1-0)</f>
        <v>4349.99</v>
      </c>
    </row>
    <row r="129" spans="1:253" ht="15" customHeight="1" x14ac:dyDescent="0.3">
      <c r="A129" s="141">
        <v>100</v>
      </c>
      <c r="B129" s="94" t="s">
        <v>506</v>
      </c>
      <c r="C129" s="199" t="s">
        <v>507</v>
      </c>
      <c r="D129" s="199"/>
      <c r="E129" s="199"/>
      <c r="F129" s="95"/>
      <c r="G129" s="94" t="s">
        <v>366</v>
      </c>
      <c r="H129" s="97">
        <v>1.5</v>
      </c>
      <c r="I129" s="95"/>
      <c r="HV129" s="18" t="s">
        <v>203</v>
      </c>
      <c r="HW129" s="18" t="s">
        <v>161</v>
      </c>
      <c r="IR129" s="142">
        <f>5725*0</f>
        <v>0</v>
      </c>
      <c r="IS129" s="142">
        <f>5725*(1-0)</f>
        <v>5725</v>
      </c>
    </row>
    <row r="130" spans="1:253" ht="15" customHeight="1" x14ac:dyDescent="0.3">
      <c r="A130" s="89" t="s">
        <v>96</v>
      </c>
      <c r="B130" s="89" t="s">
        <v>206</v>
      </c>
      <c r="C130" s="198" t="s">
        <v>508</v>
      </c>
      <c r="D130" s="198"/>
      <c r="E130" s="198"/>
      <c r="F130" s="89" t="s">
        <v>96</v>
      </c>
      <c r="G130" s="89" t="s">
        <v>96</v>
      </c>
      <c r="H130" s="92" t="s">
        <v>96</v>
      </c>
      <c r="I130" s="89" t="s">
        <v>96</v>
      </c>
    </row>
    <row r="131" spans="1:253" ht="15" customHeight="1" x14ac:dyDescent="0.3">
      <c r="A131" s="141">
        <v>101</v>
      </c>
      <c r="B131" s="94" t="s">
        <v>510</v>
      </c>
      <c r="C131" s="199" t="s">
        <v>511</v>
      </c>
      <c r="D131" s="199"/>
      <c r="E131" s="199"/>
      <c r="F131" s="95"/>
      <c r="G131" s="94" t="s">
        <v>366</v>
      </c>
      <c r="H131" s="97">
        <v>73.59</v>
      </c>
      <c r="I131" s="95"/>
      <c r="HV131" s="18" t="s">
        <v>206</v>
      </c>
      <c r="HW131" s="18" t="s">
        <v>161</v>
      </c>
      <c r="IR131" s="142">
        <f>167.99*0</f>
        <v>0</v>
      </c>
      <c r="IS131" s="142">
        <f>167.99*(1-0)</f>
        <v>167.99</v>
      </c>
    </row>
    <row r="132" spans="1:253" ht="15" customHeight="1" x14ac:dyDescent="0.3">
      <c r="A132" s="89" t="s">
        <v>96</v>
      </c>
      <c r="B132" s="89" t="s">
        <v>223</v>
      </c>
      <c r="C132" s="198" t="s">
        <v>474</v>
      </c>
      <c r="D132" s="198"/>
      <c r="E132" s="198"/>
      <c r="F132" s="89" t="s">
        <v>96</v>
      </c>
      <c r="G132" s="89" t="s">
        <v>96</v>
      </c>
      <c r="H132" s="92" t="s">
        <v>96</v>
      </c>
      <c r="I132" s="89" t="s">
        <v>96</v>
      </c>
    </row>
    <row r="133" spans="1:253" ht="15" customHeight="1" x14ac:dyDescent="0.3">
      <c r="A133" s="141">
        <v>102</v>
      </c>
      <c r="B133" s="94" t="s">
        <v>476</v>
      </c>
      <c r="C133" s="199" t="s">
        <v>477</v>
      </c>
      <c r="D133" s="199"/>
      <c r="E133" s="199"/>
      <c r="F133" s="95"/>
      <c r="G133" s="94" t="s">
        <v>366</v>
      </c>
      <c r="H133" s="97">
        <v>73.59</v>
      </c>
      <c r="I133" s="95"/>
      <c r="HV133" s="18" t="s">
        <v>223</v>
      </c>
      <c r="HW133" s="18" t="s">
        <v>161</v>
      </c>
      <c r="IR133" s="142">
        <f>130.01*0</f>
        <v>0</v>
      </c>
      <c r="IS133" s="142">
        <f>130.01*(1-0)</f>
        <v>130.01</v>
      </c>
    </row>
    <row r="134" spans="1:253" ht="24" customHeight="1" x14ac:dyDescent="0.3">
      <c r="A134" s="141">
        <v>103</v>
      </c>
      <c r="B134" s="94" t="s">
        <v>480</v>
      </c>
      <c r="C134" s="199" t="s">
        <v>481</v>
      </c>
      <c r="D134" s="199"/>
      <c r="E134" s="199"/>
      <c r="F134" s="95"/>
      <c r="G134" s="94" t="s">
        <v>366</v>
      </c>
      <c r="H134" s="97">
        <v>588.72</v>
      </c>
      <c r="I134" s="95" t="s">
        <v>901</v>
      </c>
      <c r="HV134" s="18" t="s">
        <v>223</v>
      </c>
      <c r="HW134" s="18" t="s">
        <v>161</v>
      </c>
      <c r="IR134" s="142">
        <f>25.8*0</f>
        <v>0</v>
      </c>
      <c r="IS134" s="142">
        <f>25.8*(1-0)</f>
        <v>25.8</v>
      </c>
    </row>
    <row r="135" spans="1:253" ht="15" customHeight="1" x14ac:dyDescent="0.3">
      <c r="A135" s="141">
        <v>104</v>
      </c>
      <c r="B135" s="94" t="s">
        <v>476</v>
      </c>
      <c r="C135" s="199" t="s">
        <v>477</v>
      </c>
      <c r="D135" s="199"/>
      <c r="E135" s="199"/>
      <c r="F135" s="95"/>
      <c r="G135" s="94" t="s">
        <v>366</v>
      </c>
      <c r="H135" s="97">
        <v>270.77800000000002</v>
      </c>
      <c r="I135" s="95"/>
      <c r="HV135" s="18" t="s">
        <v>223</v>
      </c>
      <c r="HW135" s="18" t="s">
        <v>161</v>
      </c>
      <c r="IR135" s="142">
        <f>130.01*0</f>
        <v>0</v>
      </c>
      <c r="IS135" s="142">
        <f>130.01*(1-0)</f>
        <v>130.01</v>
      </c>
    </row>
    <row r="136" spans="1:253" ht="24" customHeight="1" x14ac:dyDescent="0.3">
      <c r="A136" s="141">
        <v>105</v>
      </c>
      <c r="B136" s="94" t="s">
        <v>480</v>
      </c>
      <c r="C136" s="199" t="s">
        <v>481</v>
      </c>
      <c r="D136" s="199"/>
      <c r="E136" s="199"/>
      <c r="F136" s="95"/>
      <c r="G136" s="94" t="s">
        <v>366</v>
      </c>
      <c r="H136" s="97">
        <v>2707.78</v>
      </c>
      <c r="I136" s="95" t="s">
        <v>901</v>
      </c>
      <c r="HV136" s="18" t="s">
        <v>223</v>
      </c>
      <c r="HW136" s="18" t="s">
        <v>161</v>
      </c>
      <c r="IR136" s="142">
        <f>25.8*0</f>
        <v>0</v>
      </c>
      <c r="IS136" s="142">
        <f>25.8*(1-0)</f>
        <v>25.8</v>
      </c>
    </row>
    <row r="137" spans="1:253" ht="15" customHeight="1" x14ac:dyDescent="0.3">
      <c r="A137" s="141">
        <v>106</v>
      </c>
      <c r="B137" s="94" t="s">
        <v>476</v>
      </c>
      <c r="C137" s="199" t="s">
        <v>477</v>
      </c>
      <c r="D137" s="199"/>
      <c r="E137" s="199"/>
      <c r="F137" s="95"/>
      <c r="G137" s="94" t="s">
        <v>366</v>
      </c>
      <c r="H137" s="97">
        <v>24.8</v>
      </c>
      <c r="I137" s="95"/>
      <c r="HV137" s="18" t="s">
        <v>223</v>
      </c>
      <c r="HW137" s="18" t="s">
        <v>161</v>
      </c>
      <c r="IR137" s="142">
        <f>130.01*0</f>
        <v>0</v>
      </c>
      <c r="IS137" s="142">
        <f>130.01*(1-0)</f>
        <v>130.01</v>
      </c>
    </row>
    <row r="138" spans="1:253" ht="15" customHeight="1" x14ac:dyDescent="0.3">
      <c r="A138" s="141">
        <v>107</v>
      </c>
      <c r="B138" s="94" t="s">
        <v>480</v>
      </c>
      <c r="C138" s="199" t="s">
        <v>481</v>
      </c>
      <c r="D138" s="199"/>
      <c r="E138" s="199"/>
      <c r="F138" s="95"/>
      <c r="G138" s="94" t="s">
        <v>366</v>
      </c>
      <c r="H138" s="97">
        <v>248</v>
      </c>
      <c r="I138" s="95"/>
      <c r="HV138" s="18" t="s">
        <v>223</v>
      </c>
      <c r="HW138" s="18" t="s">
        <v>161</v>
      </c>
      <c r="IR138" s="142">
        <f>25.8*0</f>
        <v>0</v>
      </c>
      <c r="IS138" s="142">
        <f>25.8*(1-0)</f>
        <v>25.8</v>
      </c>
    </row>
    <row r="139" spans="1:253" ht="15" customHeight="1" x14ac:dyDescent="0.3">
      <c r="A139" s="89" t="s">
        <v>96</v>
      </c>
      <c r="B139" s="89" t="s">
        <v>228</v>
      </c>
      <c r="C139" s="198" t="s">
        <v>482</v>
      </c>
      <c r="D139" s="198"/>
      <c r="E139" s="198"/>
      <c r="F139" s="89" t="s">
        <v>96</v>
      </c>
      <c r="G139" s="89" t="s">
        <v>96</v>
      </c>
      <c r="H139" s="92" t="s">
        <v>96</v>
      </c>
      <c r="I139" s="89" t="s">
        <v>96</v>
      </c>
    </row>
    <row r="140" spans="1:253" ht="15" customHeight="1" x14ac:dyDescent="0.3">
      <c r="A140" s="141">
        <v>108</v>
      </c>
      <c r="B140" s="94" t="s">
        <v>484</v>
      </c>
      <c r="C140" s="199" t="s">
        <v>520</v>
      </c>
      <c r="D140" s="199"/>
      <c r="E140" s="199"/>
      <c r="F140" s="95"/>
      <c r="G140" s="94" t="s">
        <v>366</v>
      </c>
      <c r="H140" s="97">
        <v>24.8</v>
      </c>
      <c r="I140" s="95"/>
      <c r="HV140" s="18" t="s">
        <v>228</v>
      </c>
      <c r="HW140" s="18" t="s">
        <v>161</v>
      </c>
      <c r="IR140" s="142">
        <f>111*0</f>
        <v>0</v>
      </c>
      <c r="IS140" s="142">
        <f>111*(1-0)</f>
        <v>111</v>
      </c>
    </row>
    <row r="141" spans="1:253" ht="24" customHeight="1" x14ac:dyDescent="0.3">
      <c r="A141" s="143">
        <v>109</v>
      </c>
      <c r="B141" s="105" t="s">
        <v>487</v>
      </c>
      <c r="C141" s="201" t="s">
        <v>522</v>
      </c>
      <c r="D141" s="201"/>
      <c r="E141" s="201"/>
      <c r="F141" s="95"/>
      <c r="G141" s="105" t="s">
        <v>323</v>
      </c>
      <c r="H141" s="108">
        <v>39.68</v>
      </c>
      <c r="I141" s="106"/>
      <c r="HV141" s="144" t="s">
        <v>228</v>
      </c>
      <c r="HW141" s="144" t="s">
        <v>489</v>
      </c>
      <c r="IR141" s="145">
        <f>378*1</f>
        <v>378</v>
      </c>
      <c r="IS141" s="145">
        <f>378*(1-1)</f>
        <v>0</v>
      </c>
    </row>
    <row r="142" spans="1:253" ht="15" customHeight="1" x14ac:dyDescent="0.3">
      <c r="A142" s="89" t="s">
        <v>96</v>
      </c>
      <c r="B142" s="89" t="s">
        <v>234</v>
      </c>
      <c r="C142" s="198" t="s">
        <v>523</v>
      </c>
      <c r="D142" s="198"/>
      <c r="E142" s="198"/>
      <c r="F142" s="89" t="s">
        <v>96</v>
      </c>
      <c r="G142" s="89" t="s">
        <v>96</v>
      </c>
      <c r="H142" s="92" t="s">
        <v>96</v>
      </c>
      <c r="I142" s="89" t="s">
        <v>96</v>
      </c>
    </row>
    <row r="143" spans="1:253" ht="24" customHeight="1" x14ac:dyDescent="0.3">
      <c r="A143" s="141">
        <v>110</v>
      </c>
      <c r="B143" s="94" t="s">
        <v>525</v>
      </c>
      <c r="C143" s="199" t="s">
        <v>526</v>
      </c>
      <c r="D143" s="199"/>
      <c r="E143" s="199"/>
      <c r="F143" s="95"/>
      <c r="G143" s="94" t="s">
        <v>155</v>
      </c>
      <c r="H143" s="97">
        <v>376.94400000000002</v>
      </c>
      <c r="I143" s="95" t="s">
        <v>905</v>
      </c>
      <c r="HV143" s="18" t="s">
        <v>234</v>
      </c>
      <c r="HW143" s="18" t="s">
        <v>161</v>
      </c>
      <c r="IR143" s="142">
        <f>269.5*0</f>
        <v>0</v>
      </c>
      <c r="IS143" s="142">
        <f>269.5*(1-0)</f>
        <v>269.5</v>
      </c>
    </row>
    <row r="144" spans="1:253" ht="15" customHeight="1" x14ac:dyDescent="0.3">
      <c r="A144" s="143">
        <v>111</v>
      </c>
      <c r="B144" s="105" t="s">
        <v>529</v>
      </c>
      <c r="C144" s="201" t="s">
        <v>530</v>
      </c>
      <c r="D144" s="201"/>
      <c r="E144" s="201"/>
      <c r="F144" s="95"/>
      <c r="G144" s="105" t="s">
        <v>323</v>
      </c>
      <c r="H144" s="108">
        <v>265.36799999999999</v>
      </c>
      <c r="I144" s="106" t="s">
        <v>906</v>
      </c>
      <c r="HV144" s="144" t="s">
        <v>234</v>
      </c>
      <c r="HW144" s="144" t="s">
        <v>489</v>
      </c>
      <c r="IR144" s="145">
        <f>518*1</f>
        <v>518</v>
      </c>
      <c r="IS144" s="145">
        <f>518*(1-1)</f>
        <v>0</v>
      </c>
    </row>
    <row r="145" spans="1:253" ht="15" customHeight="1" x14ac:dyDescent="0.3">
      <c r="A145" s="141">
        <v>112</v>
      </c>
      <c r="B145" s="94" t="s">
        <v>532</v>
      </c>
      <c r="C145" s="199" t="s">
        <v>533</v>
      </c>
      <c r="D145" s="199"/>
      <c r="E145" s="199"/>
      <c r="F145" s="95"/>
      <c r="G145" s="94" t="s">
        <v>155</v>
      </c>
      <c r="H145" s="97">
        <v>376.94400000000002</v>
      </c>
      <c r="I145" s="95"/>
      <c r="HV145" s="18" t="s">
        <v>234</v>
      </c>
      <c r="HW145" s="18" t="s">
        <v>161</v>
      </c>
      <c r="IR145" s="142">
        <f>86.49*0</f>
        <v>0</v>
      </c>
      <c r="IS145" s="142">
        <f>86.49*(1-0)</f>
        <v>86.49</v>
      </c>
    </row>
    <row r="146" spans="1:253" ht="15" customHeight="1" x14ac:dyDescent="0.3">
      <c r="A146" s="89" t="s">
        <v>96</v>
      </c>
      <c r="B146" s="89" t="s">
        <v>266</v>
      </c>
      <c r="C146" s="198" t="s">
        <v>267</v>
      </c>
      <c r="D146" s="198"/>
      <c r="E146" s="198"/>
      <c r="F146" s="89" t="s">
        <v>96</v>
      </c>
      <c r="G146" s="89" t="s">
        <v>96</v>
      </c>
      <c r="H146" s="92" t="s">
        <v>96</v>
      </c>
      <c r="I146" s="89" t="s">
        <v>96</v>
      </c>
    </row>
    <row r="147" spans="1:253" ht="15" customHeight="1" x14ac:dyDescent="0.3">
      <c r="A147" s="141">
        <v>113</v>
      </c>
      <c r="B147" s="94" t="s">
        <v>535</v>
      </c>
      <c r="C147" s="199" t="s">
        <v>536</v>
      </c>
      <c r="D147" s="199"/>
      <c r="E147" s="199"/>
      <c r="F147" s="95"/>
      <c r="G147" s="94" t="s">
        <v>212</v>
      </c>
      <c r="H147" s="97">
        <v>1</v>
      </c>
      <c r="I147" s="95"/>
      <c r="HV147" s="18" t="s">
        <v>266</v>
      </c>
      <c r="HW147" s="18" t="s">
        <v>161</v>
      </c>
      <c r="IR147" s="142">
        <f>459.01*0</f>
        <v>0</v>
      </c>
      <c r="IS147" s="142">
        <f>459.01*(1-0)</f>
        <v>459.01</v>
      </c>
    </row>
    <row r="148" spans="1:253" ht="15" customHeight="1" x14ac:dyDescent="0.3">
      <c r="A148" s="89" t="s">
        <v>96</v>
      </c>
      <c r="B148" s="89" t="s">
        <v>324</v>
      </c>
      <c r="C148" s="198" t="s">
        <v>325</v>
      </c>
      <c r="D148" s="198"/>
      <c r="E148" s="198"/>
      <c r="F148" s="89" t="s">
        <v>96</v>
      </c>
      <c r="G148" s="89" t="s">
        <v>96</v>
      </c>
      <c r="H148" s="92" t="s">
        <v>96</v>
      </c>
      <c r="I148" s="89" t="s">
        <v>96</v>
      </c>
    </row>
    <row r="149" spans="1:253" ht="35.549999999999997" customHeight="1" x14ac:dyDescent="0.3">
      <c r="A149" s="141">
        <v>114</v>
      </c>
      <c r="B149" s="94" t="s">
        <v>539</v>
      </c>
      <c r="C149" s="199" t="s">
        <v>540</v>
      </c>
      <c r="D149" s="199"/>
      <c r="E149" s="199"/>
      <c r="F149" s="95"/>
      <c r="G149" s="94" t="s">
        <v>366</v>
      </c>
      <c r="H149" s="97">
        <v>12.04</v>
      </c>
      <c r="I149" s="95" t="s">
        <v>889</v>
      </c>
      <c r="HV149" s="18" t="s">
        <v>324</v>
      </c>
      <c r="HW149" s="18" t="s">
        <v>161</v>
      </c>
      <c r="IR149" s="142">
        <f>1362.99*0</f>
        <v>0</v>
      </c>
      <c r="IS149" s="142">
        <f>1362.99*(1-0)</f>
        <v>1362.99</v>
      </c>
    </row>
    <row r="150" spans="1:253" ht="35.549999999999997" customHeight="1" x14ac:dyDescent="0.3">
      <c r="A150" s="141">
        <v>115</v>
      </c>
      <c r="B150" s="94" t="s">
        <v>543</v>
      </c>
      <c r="C150" s="199" t="s">
        <v>544</v>
      </c>
      <c r="D150" s="199"/>
      <c r="E150" s="199"/>
      <c r="F150" s="95"/>
      <c r="G150" s="94" t="s">
        <v>366</v>
      </c>
      <c r="H150" s="97">
        <v>23.64</v>
      </c>
      <c r="I150" s="95" t="s">
        <v>890</v>
      </c>
      <c r="HV150" s="18" t="s">
        <v>324</v>
      </c>
      <c r="HW150" s="18" t="s">
        <v>161</v>
      </c>
      <c r="IR150" s="142">
        <f>1208*0.032168874</f>
        <v>38.859999792000004</v>
      </c>
      <c r="IS150" s="142">
        <f>1208*(1-0.032168874)</f>
        <v>1169.1400002079999</v>
      </c>
    </row>
    <row r="151" spans="1:253" ht="35.549999999999997" customHeight="1" x14ac:dyDescent="0.3">
      <c r="A151" s="141">
        <v>116</v>
      </c>
      <c r="B151" s="94" t="s">
        <v>546</v>
      </c>
      <c r="C151" s="199" t="s">
        <v>547</v>
      </c>
      <c r="D151" s="199"/>
      <c r="E151" s="199"/>
      <c r="F151" s="95"/>
      <c r="G151" s="94" t="s">
        <v>366</v>
      </c>
      <c r="H151" s="97">
        <v>46.371000000000002</v>
      </c>
      <c r="I151" s="95" t="s">
        <v>890</v>
      </c>
      <c r="HV151" s="18" t="s">
        <v>324</v>
      </c>
      <c r="HW151" s="18" t="s">
        <v>161</v>
      </c>
      <c r="IR151" s="142">
        <f>1158.01*0.032201794</f>
        <v>37.28999946994</v>
      </c>
      <c r="IS151" s="142">
        <f>1158.01*(1-0.032201794)</f>
        <v>1120.7200005300599</v>
      </c>
    </row>
    <row r="152" spans="1:253" ht="15" customHeight="1" x14ac:dyDescent="0.3">
      <c r="A152" s="89" t="s">
        <v>96</v>
      </c>
      <c r="B152" s="89" t="s">
        <v>548</v>
      </c>
      <c r="C152" s="198" t="s">
        <v>549</v>
      </c>
      <c r="D152" s="198"/>
      <c r="E152" s="198"/>
      <c r="F152" s="89" t="s">
        <v>96</v>
      </c>
      <c r="G152" s="89" t="s">
        <v>96</v>
      </c>
      <c r="H152" s="92" t="s">
        <v>96</v>
      </c>
      <c r="I152" s="89" t="s">
        <v>96</v>
      </c>
    </row>
    <row r="153" spans="1:253" ht="15" customHeight="1" x14ac:dyDescent="0.3">
      <c r="A153" s="141">
        <v>117</v>
      </c>
      <c r="B153" s="94" t="s">
        <v>551</v>
      </c>
      <c r="C153" s="199" t="s">
        <v>552</v>
      </c>
      <c r="D153" s="199"/>
      <c r="E153" s="199"/>
      <c r="F153" s="95"/>
      <c r="G153" s="94" t="s">
        <v>366</v>
      </c>
      <c r="H153" s="97">
        <v>1.5</v>
      </c>
      <c r="I153" s="95"/>
      <c r="HV153" s="18" t="s">
        <v>548</v>
      </c>
      <c r="HW153" s="18" t="s">
        <v>161</v>
      </c>
      <c r="IR153" s="142">
        <f>1049*0</f>
        <v>0</v>
      </c>
      <c r="IS153" s="142">
        <f>1049*(1-0)</f>
        <v>1049</v>
      </c>
    </row>
    <row r="154" spans="1:253" ht="15" customHeight="1" x14ac:dyDescent="0.3">
      <c r="A154" s="141">
        <v>118</v>
      </c>
      <c r="B154" s="94" t="s">
        <v>555</v>
      </c>
      <c r="C154" s="199" t="s">
        <v>556</v>
      </c>
      <c r="D154" s="199"/>
      <c r="E154" s="199"/>
      <c r="F154" s="95"/>
      <c r="G154" s="94" t="s">
        <v>366</v>
      </c>
      <c r="H154" s="97">
        <v>12</v>
      </c>
      <c r="I154" s="95"/>
      <c r="HV154" s="18" t="s">
        <v>548</v>
      </c>
      <c r="HW154" s="18" t="s">
        <v>161</v>
      </c>
      <c r="IR154" s="142">
        <f>11.39*0</f>
        <v>0</v>
      </c>
      <c r="IS154" s="142">
        <f>11.39*(1-0)</f>
        <v>11.39</v>
      </c>
    </row>
    <row r="155" spans="1:253" ht="15" customHeight="1" x14ac:dyDescent="0.3">
      <c r="A155" s="89" t="s">
        <v>96</v>
      </c>
      <c r="B155" s="89" t="s">
        <v>398</v>
      </c>
      <c r="C155" s="198" t="s">
        <v>399</v>
      </c>
      <c r="D155" s="198"/>
      <c r="E155" s="198"/>
      <c r="F155" s="89" t="s">
        <v>96</v>
      </c>
      <c r="G155" s="89" t="s">
        <v>96</v>
      </c>
      <c r="H155" s="92" t="s">
        <v>96</v>
      </c>
      <c r="I155" s="89" t="s">
        <v>96</v>
      </c>
    </row>
    <row r="156" spans="1:253" ht="15" customHeight="1" x14ac:dyDescent="0.3">
      <c r="A156" s="141">
        <v>119</v>
      </c>
      <c r="B156" s="94" t="s">
        <v>453</v>
      </c>
      <c r="C156" s="199" t="s">
        <v>454</v>
      </c>
      <c r="D156" s="199"/>
      <c r="E156" s="199"/>
      <c r="F156" s="95"/>
      <c r="G156" s="94" t="s">
        <v>323</v>
      </c>
      <c r="H156" s="97">
        <v>167.53100000000001</v>
      </c>
      <c r="I156" s="95"/>
      <c r="HV156" s="18" t="s">
        <v>398</v>
      </c>
      <c r="HW156" s="18" t="s">
        <v>161</v>
      </c>
      <c r="IR156" s="142">
        <f>330.49*0</f>
        <v>0</v>
      </c>
      <c r="IS156" s="142">
        <f>330.49*(1-0)</f>
        <v>330.49</v>
      </c>
    </row>
    <row r="157" spans="1:253" ht="15" customHeight="1" x14ac:dyDescent="0.3">
      <c r="A157" s="141">
        <v>120</v>
      </c>
      <c r="B157" s="94" t="s">
        <v>456</v>
      </c>
      <c r="C157" s="199" t="s">
        <v>457</v>
      </c>
      <c r="D157" s="199"/>
      <c r="E157" s="199"/>
      <c r="F157" s="95"/>
      <c r="G157" s="94" t="s">
        <v>323</v>
      </c>
      <c r="H157" s="97">
        <v>1340.248</v>
      </c>
      <c r="I157" s="95"/>
      <c r="HV157" s="18" t="s">
        <v>398</v>
      </c>
      <c r="HW157" s="18" t="s">
        <v>161</v>
      </c>
      <c r="IR157" s="142">
        <f>28.2*0</f>
        <v>0</v>
      </c>
      <c r="IS157" s="142">
        <f>28.2*(1-0)</f>
        <v>28.2</v>
      </c>
    </row>
    <row r="158" spans="1:253" ht="24" customHeight="1" x14ac:dyDescent="0.3">
      <c r="A158" s="141">
        <v>121</v>
      </c>
      <c r="B158" s="94" t="s">
        <v>401</v>
      </c>
      <c r="C158" s="199" t="s">
        <v>560</v>
      </c>
      <c r="D158" s="199"/>
      <c r="E158" s="199"/>
      <c r="F158" s="95"/>
      <c r="G158" s="94" t="s">
        <v>323</v>
      </c>
      <c r="H158" s="97">
        <v>167.321</v>
      </c>
      <c r="I158" s="95" t="s">
        <v>907</v>
      </c>
      <c r="HV158" s="18" t="s">
        <v>398</v>
      </c>
      <c r="HW158" s="18" t="s">
        <v>161</v>
      </c>
      <c r="IR158" s="142">
        <f>266.5*0</f>
        <v>0</v>
      </c>
      <c r="IS158" s="142">
        <f>266.5*(1-0)</f>
        <v>266.5</v>
      </c>
    </row>
    <row r="159" spans="1:253" ht="15" customHeight="1" x14ac:dyDescent="0.3">
      <c r="A159" s="89" t="s">
        <v>96</v>
      </c>
      <c r="B159" s="89"/>
      <c r="C159" s="198" t="s">
        <v>111</v>
      </c>
      <c r="D159" s="198"/>
      <c r="E159" s="198"/>
      <c r="F159" s="89" t="s">
        <v>96</v>
      </c>
      <c r="G159" s="89" t="s">
        <v>96</v>
      </c>
      <c r="H159" s="92" t="s">
        <v>96</v>
      </c>
      <c r="I159" s="89" t="s">
        <v>96</v>
      </c>
    </row>
    <row r="160" spans="1:253" ht="15" customHeight="1" x14ac:dyDescent="0.3">
      <c r="A160" s="89" t="s">
        <v>96</v>
      </c>
      <c r="B160" s="89" t="s">
        <v>489</v>
      </c>
      <c r="C160" s="198" t="s">
        <v>561</v>
      </c>
      <c r="D160" s="198"/>
      <c r="E160" s="198"/>
      <c r="F160" s="89" t="s">
        <v>96</v>
      </c>
      <c r="G160" s="89" t="s">
        <v>96</v>
      </c>
      <c r="H160" s="92" t="s">
        <v>96</v>
      </c>
      <c r="I160" s="89" t="s">
        <v>96</v>
      </c>
    </row>
    <row r="161" spans="1:253" ht="24" customHeight="1" x14ac:dyDescent="0.3">
      <c r="A161" s="141">
        <v>122</v>
      </c>
      <c r="B161" s="94" t="s">
        <v>563</v>
      </c>
      <c r="C161" s="199" t="s">
        <v>564</v>
      </c>
      <c r="D161" s="199"/>
      <c r="E161" s="199"/>
      <c r="F161" s="95"/>
      <c r="G161" s="94" t="s">
        <v>287</v>
      </c>
      <c r="H161" s="97">
        <v>16</v>
      </c>
      <c r="I161" s="95"/>
      <c r="HV161" s="18" t="s">
        <v>489</v>
      </c>
      <c r="HW161" s="18" t="s">
        <v>161</v>
      </c>
      <c r="IR161" s="142">
        <f>827*0</f>
        <v>0</v>
      </c>
      <c r="IS161" s="142">
        <f>827*(1-0)</f>
        <v>827</v>
      </c>
    </row>
    <row r="162" spans="1:253" ht="24" customHeight="1" x14ac:dyDescent="0.3">
      <c r="A162" s="141">
        <v>123</v>
      </c>
      <c r="B162" s="94" t="s">
        <v>563</v>
      </c>
      <c r="C162" s="199" t="s">
        <v>569</v>
      </c>
      <c r="D162" s="199"/>
      <c r="E162" s="199"/>
      <c r="F162" s="95"/>
      <c r="G162" s="94" t="s">
        <v>287</v>
      </c>
      <c r="H162" s="97">
        <v>35</v>
      </c>
      <c r="I162" s="95"/>
      <c r="HV162" s="18" t="s">
        <v>489</v>
      </c>
      <c r="HW162" s="18" t="s">
        <v>161</v>
      </c>
      <c r="IR162" s="142">
        <f>827*0</f>
        <v>0</v>
      </c>
      <c r="IS162" s="142">
        <f>827*(1-0)</f>
        <v>827</v>
      </c>
    </row>
    <row r="163" spans="1:253" ht="24" customHeight="1" x14ac:dyDescent="0.3">
      <c r="A163" s="141">
        <v>124</v>
      </c>
      <c r="B163" s="94" t="s">
        <v>563</v>
      </c>
      <c r="C163" s="199" t="s">
        <v>571</v>
      </c>
      <c r="D163" s="199"/>
      <c r="E163" s="199"/>
      <c r="F163" s="95"/>
      <c r="G163" s="94" t="s">
        <v>287</v>
      </c>
      <c r="H163" s="97">
        <v>30</v>
      </c>
      <c r="I163" s="95"/>
      <c r="HV163" s="18" t="s">
        <v>489</v>
      </c>
      <c r="HW163" s="18" t="s">
        <v>161</v>
      </c>
      <c r="IR163" s="142">
        <f>827*0</f>
        <v>0</v>
      </c>
      <c r="IS163" s="142">
        <f>827*(1-0)</f>
        <v>827</v>
      </c>
    </row>
    <row r="164" spans="1:253" ht="24" customHeight="1" x14ac:dyDescent="0.3">
      <c r="A164" s="141">
        <v>125</v>
      </c>
      <c r="B164" s="94" t="s">
        <v>563</v>
      </c>
      <c r="C164" s="199" t="s">
        <v>573</v>
      </c>
      <c r="D164" s="199"/>
      <c r="E164" s="199"/>
      <c r="F164" s="95"/>
      <c r="G164" s="94" t="s">
        <v>287</v>
      </c>
      <c r="H164" s="97">
        <v>40</v>
      </c>
      <c r="I164" s="95"/>
      <c r="HV164" s="18" t="s">
        <v>489</v>
      </c>
      <c r="HW164" s="18" t="s">
        <v>161</v>
      </c>
      <c r="IR164" s="142">
        <f>827*0</f>
        <v>0</v>
      </c>
      <c r="IS164" s="142">
        <f>827*(1-0)</f>
        <v>827</v>
      </c>
    </row>
    <row r="165" spans="1:253" ht="35.549999999999997" customHeight="1" x14ac:dyDescent="0.3">
      <c r="A165" s="141">
        <v>126</v>
      </c>
      <c r="B165" s="94" t="s">
        <v>575</v>
      </c>
      <c r="C165" s="199" t="s">
        <v>576</v>
      </c>
      <c r="D165" s="199"/>
      <c r="E165" s="199"/>
      <c r="F165" s="95"/>
      <c r="G165" s="94" t="s">
        <v>78</v>
      </c>
      <c r="H165" s="97"/>
      <c r="I165" s="95"/>
      <c r="HV165" s="18" t="s">
        <v>489</v>
      </c>
      <c r="HW165" s="18" t="s">
        <v>161</v>
      </c>
      <c r="IR165" s="142">
        <f>1*0</f>
        <v>0</v>
      </c>
      <c r="IS165" s="142">
        <f>1*(1-0)</f>
        <v>1</v>
      </c>
    </row>
    <row r="166" spans="1:253" ht="15" customHeight="1" x14ac:dyDescent="0.3">
      <c r="A166" s="141">
        <v>127</v>
      </c>
      <c r="B166" s="94" t="s">
        <v>578</v>
      </c>
      <c r="C166" s="199" t="s">
        <v>579</v>
      </c>
      <c r="D166" s="199"/>
      <c r="E166" s="199"/>
      <c r="F166" s="95"/>
      <c r="G166" s="94" t="s">
        <v>78</v>
      </c>
      <c r="H166" s="97"/>
      <c r="I166" s="95"/>
      <c r="HV166" s="18" t="s">
        <v>489</v>
      </c>
      <c r="HW166" s="18" t="s">
        <v>161</v>
      </c>
      <c r="IR166" s="142">
        <f>1.05*0</f>
        <v>0</v>
      </c>
      <c r="IS166" s="142">
        <f>1.05*(1-0)</f>
        <v>1.05</v>
      </c>
    </row>
    <row r="167" spans="1:253" ht="15" customHeight="1" x14ac:dyDescent="0.3">
      <c r="A167" s="89" t="s">
        <v>96</v>
      </c>
      <c r="B167" s="89"/>
      <c r="C167" s="198" t="s">
        <v>82</v>
      </c>
      <c r="D167" s="198"/>
      <c r="E167" s="198"/>
      <c r="F167" s="89" t="s">
        <v>96</v>
      </c>
      <c r="G167" s="89" t="s">
        <v>96</v>
      </c>
      <c r="H167" s="92" t="s">
        <v>96</v>
      </c>
      <c r="I167" s="89" t="s">
        <v>96</v>
      </c>
    </row>
    <row r="168" spans="1:253" ht="15" customHeight="1" x14ac:dyDescent="0.3">
      <c r="A168" s="89" t="s">
        <v>96</v>
      </c>
      <c r="B168" s="89" t="s">
        <v>234</v>
      </c>
      <c r="C168" s="198" t="s">
        <v>523</v>
      </c>
      <c r="D168" s="198"/>
      <c r="E168" s="198"/>
      <c r="F168" s="89" t="s">
        <v>96</v>
      </c>
      <c r="G168" s="89" t="s">
        <v>96</v>
      </c>
      <c r="H168" s="92" t="s">
        <v>96</v>
      </c>
      <c r="I168" s="89" t="s">
        <v>96</v>
      </c>
    </row>
    <row r="169" spans="1:253" ht="24" customHeight="1" x14ac:dyDescent="0.3">
      <c r="A169" s="141">
        <v>128</v>
      </c>
      <c r="B169" s="94" t="s">
        <v>581</v>
      </c>
      <c r="C169" s="199" t="s">
        <v>582</v>
      </c>
      <c r="D169" s="199"/>
      <c r="E169" s="199"/>
      <c r="F169" s="95"/>
      <c r="G169" s="94" t="s">
        <v>155</v>
      </c>
      <c r="H169" s="97">
        <v>460</v>
      </c>
      <c r="I169" s="95"/>
      <c r="HV169" s="18" t="s">
        <v>234</v>
      </c>
      <c r="HW169" s="18" t="s">
        <v>161</v>
      </c>
      <c r="IR169" s="142">
        <f>215.01*0</f>
        <v>0</v>
      </c>
      <c r="IS169" s="142">
        <f>215.01*(1-0)</f>
        <v>215.01</v>
      </c>
    </row>
    <row r="170" spans="1:253" ht="15" customHeight="1" x14ac:dyDescent="0.3">
      <c r="A170" s="89" t="s">
        <v>96</v>
      </c>
      <c r="B170" s="89" t="s">
        <v>311</v>
      </c>
      <c r="C170" s="198" t="s">
        <v>585</v>
      </c>
      <c r="D170" s="198"/>
      <c r="E170" s="198"/>
      <c r="F170" s="89" t="s">
        <v>96</v>
      </c>
      <c r="G170" s="89" t="s">
        <v>96</v>
      </c>
      <c r="H170" s="92" t="s">
        <v>96</v>
      </c>
      <c r="I170" s="89" t="s">
        <v>96</v>
      </c>
    </row>
    <row r="171" spans="1:253" ht="24" customHeight="1" x14ac:dyDescent="0.3">
      <c r="A171" s="141">
        <v>129</v>
      </c>
      <c r="B171" s="94" t="s">
        <v>587</v>
      </c>
      <c r="C171" s="199" t="s">
        <v>588</v>
      </c>
      <c r="D171" s="199"/>
      <c r="E171" s="199"/>
      <c r="F171" s="95"/>
      <c r="G171" s="94" t="s">
        <v>212</v>
      </c>
      <c r="H171" s="97">
        <v>3</v>
      </c>
      <c r="I171" s="95"/>
      <c r="HV171" s="18" t="s">
        <v>311</v>
      </c>
      <c r="HW171" s="18" t="s">
        <v>161</v>
      </c>
      <c r="IR171" s="142">
        <f>4970.01*0</f>
        <v>0</v>
      </c>
      <c r="IS171" s="142">
        <f>4970.01*(1-0)</f>
        <v>4970.01</v>
      </c>
    </row>
    <row r="172" spans="1:253" ht="15" customHeight="1" x14ac:dyDescent="0.3">
      <c r="A172" s="141">
        <v>130</v>
      </c>
      <c r="B172" s="94" t="s">
        <v>592</v>
      </c>
      <c r="C172" s="199" t="s">
        <v>593</v>
      </c>
      <c r="D172" s="199"/>
      <c r="E172" s="199"/>
      <c r="F172" s="95"/>
      <c r="G172" s="94" t="s">
        <v>594</v>
      </c>
      <c r="H172" s="97">
        <v>8</v>
      </c>
      <c r="I172" s="95"/>
      <c r="HV172" s="18" t="s">
        <v>311</v>
      </c>
      <c r="HW172" s="18" t="s">
        <v>161</v>
      </c>
      <c r="IR172" s="142">
        <f>5000*0</f>
        <v>0</v>
      </c>
      <c r="IS172" s="142">
        <f>5000*(1-0)</f>
        <v>5000</v>
      </c>
    </row>
    <row r="173" spans="1:253" ht="15" customHeight="1" x14ac:dyDescent="0.3">
      <c r="A173" s="141">
        <v>131</v>
      </c>
      <c r="B173" s="94" t="s">
        <v>596</v>
      </c>
      <c r="C173" s="199" t="s">
        <v>597</v>
      </c>
      <c r="D173" s="199"/>
      <c r="E173" s="199"/>
      <c r="F173" s="95"/>
      <c r="G173" s="94" t="s">
        <v>594</v>
      </c>
      <c r="H173" s="97">
        <v>4</v>
      </c>
      <c r="I173" s="95"/>
      <c r="HV173" s="18" t="s">
        <v>311</v>
      </c>
      <c r="HW173" s="18" t="s">
        <v>161</v>
      </c>
      <c r="IR173" s="142">
        <f>4000*0</f>
        <v>0</v>
      </c>
      <c r="IS173" s="142">
        <f>4000*(1-0)</f>
        <v>4000</v>
      </c>
    </row>
    <row r="174" spans="1:253" ht="15" customHeight="1" x14ac:dyDescent="0.3">
      <c r="A174" s="89" t="s">
        <v>96</v>
      </c>
      <c r="B174" s="89" t="s">
        <v>370</v>
      </c>
      <c r="C174" s="198" t="s">
        <v>598</v>
      </c>
      <c r="D174" s="198"/>
      <c r="E174" s="198"/>
      <c r="F174" s="89" t="s">
        <v>96</v>
      </c>
      <c r="G174" s="89" t="s">
        <v>96</v>
      </c>
      <c r="H174" s="92" t="s">
        <v>96</v>
      </c>
      <c r="I174" s="89" t="s">
        <v>96</v>
      </c>
    </row>
    <row r="175" spans="1:253" ht="409.6" customHeight="1" x14ac:dyDescent="0.3">
      <c r="A175" s="141">
        <v>132</v>
      </c>
      <c r="B175" s="94" t="s">
        <v>600</v>
      </c>
      <c r="C175" s="199" t="s">
        <v>601</v>
      </c>
      <c r="D175" s="199"/>
      <c r="E175" s="199"/>
      <c r="F175" s="95"/>
      <c r="G175" s="94" t="s">
        <v>287</v>
      </c>
      <c r="H175" s="97">
        <v>6</v>
      </c>
      <c r="I175" s="95" t="s">
        <v>883</v>
      </c>
      <c r="HV175" s="18" t="s">
        <v>370</v>
      </c>
      <c r="HW175" s="18" t="s">
        <v>161</v>
      </c>
      <c r="IR175" s="142">
        <f>554*0</f>
        <v>0</v>
      </c>
      <c r="IS175" s="142">
        <f>554*(1-0)</f>
        <v>554</v>
      </c>
    </row>
    <row r="176" spans="1:253" ht="15" customHeight="1" x14ac:dyDescent="0.3">
      <c r="A176" s="141">
        <v>133</v>
      </c>
      <c r="B176" s="94" t="s">
        <v>605</v>
      </c>
      <c r="C176" s="199" t="s">
        <v>606</v>
      </c>
      <c r="D176" s="199"/>
      <c r="E176" s="199"/>
      <c r="F176" s="95"/>
      <c r="G176" s="94" t="s">
        <v>155</v>
      </c>
      <c r="H176" s="97">
        <v>460</v>
      </c>
      <c r="I176" s="95"/>
      <c r="HV176" s="18" t="s">
        <v>370</v>
      </c>
      <c r="HW176" s="18" t="s">
        <v>161</v>
      </c>
      <c r="IR176" s="142">
        <f>43.7*0</f>
        <v>0</v>
      </c>
      <c r="IS176" s="142">
        <f>43.7*(1-0)</f>
        <v>43.7</v>
      </c>
    </row>
    <row r="177" spans="1:253" ht="81.3" customHeight="1" x14ac:dyDescent="0.3">
      <c r="A177" s="143">
        <v>134</v>
      </c>
      <c r="B177" s="105" t="s">
        <v>608</v>
      </c>
      <c r="C177" s="201" t="s">
        <v>609</v>
      </c>
      <c r="D177" s="201"/>
      <c r="E177" s="201"/>
      <c r="F177" s="95"/>
      <c r="G177" s="105" t="s">
        <v>155</v>
      </c>
      <c r="H177" s="108">
        <v>529</v>
      </c>
      <c r="I177" s="106" t="s">
        <v>908</v>
      </c>
      <c r="HV177" s="144" t="s">
        <v>370</v>
      </c>
      <c r="HW177" s="144" t="s">
        <v>489</v>
      </c>
      <c r="IR177" s="145">
        <f>38.3*1</f>
        <v>38.299999999999997</v>
      </c>
      <c r="IS177" s="145">
        <f>38.3*(1-1)</f>
        <v>0</v>
      </c>
    </row>
    <row r="178" spans="1:253" ht="46.95" customHeight="1" x14ac:dyDescent="0.3">
      <c r="A178" s="141">
        <v>135</v>
      </c>
      <c r="B178" s="94" t="s">
        <v>611</v>
      </c>
      <c r="C178" s="199" t="s">
        <v>612</v>
      </c>
      <c r="D178" s="199"/>
      <c r="E178" s="199"/>
      <c r="F178" s="95"/>
      <c r="G178" s="94" t="s">
        <v>155</v>
      </c>
      <c r="H178" s="97">
        <v>460</v>
      </c>
      <c r="I178" s="95" t="s">
        <v>909</v>
      </c>
      <c r="HV178" s="18" t="s">
        <v>370</v>
      </c>
      <c r="HW178" s="18" t="s">
        <v>161</v>
      </c>
      <c r="IR178" s="142">
        <f>232.5*0.84911828</f>
        <v>197.42000010000001</v>
      </c>
      <c r="IS178" s="142">
        <f>232.5*(1-0.84911828)</f>
        <v>35.079999899999997</v>
      </c>
    </row>
    <row r="179" spans="1:253" ht="35.549999999999997" customHeight="1" x14ac:dyDescent="0.3">
      <c r="A179" s="141">
        <v>136</v>
      </c>
      <c r="B179" s="94" t="s">
        <v>614</v>
      </c>
      <c r="C179" s="199" t="s">
        <v>615</v>
      </c>
      <c r="D179" s="199"/>
      <c r="E179" s="199"/>
      <c r="F179" s="95"/>
      <c r="G179" s="94" t="s">
        <v>155</v>
      </c>
      <c r="H179" s="97">
        <v>460</v>
      </c>
      <c r="I179" s="95" t="s">
        <v>910</v>
      </c>
      <c r="HV179" s="18" t="s">
        <v>370</v>
      </c>
      <c r="HW179" s="18" t="s">
        <v>161</v>
      </c>
      <c r="IR179" s="142">
        <f>55.1*0.662794918</f>
        <v>36.519999981799998</v>
      </c>
      <c r="IS179" s="142">
        <f>55.1*(1-0.662794918)</f>
        <v>18.5800000182</v>
      </c>
    </row>
    <row r="180" spans="1:253" ht="69.900000000000006" customHeight="1" x14ac:dyDescent="0.3">
      <c r="A180" s="141">
        <v>137</v>
      </c>
      <c r="B180" s="94" t="s">
        <v>617</v>
      </c>
      <c r="C180" s="199" t="s">
        <v>618</v>
      </c>
      <c r="D180" s="199"/>
      <c r="E180" s="199"/>
      <c r="F180" s="95"/>
      <c r="G180" s="94" t="s">
        <v>155</v>
      </c>
      <c r="H180" s="97">
        <v>460</v>
      </c>
      <c r="I180" s="95" t="s">
        <v>911</v>
      </c>
      <c r="HV180" s="18" t="s">
        <v>370</v>
      </c>
      <c r="HW180" s="18" t="s">
        <v>161</v>
      </c>
      <c r="IR180" s="142">
        <f>69.7*0</f>
        <v>0</v>
      </c>
      <c r="IS180" s="142">
        <f>69.7*(1-0)</f>
        <v>69.7</v>
      </c>
    </row>
    <row r="181" spans="1:253" ht="15" customHeight="1" x14ac:dyDescent="0.3">
      <c r="A181" s="141">
        <v>138</v>
      </c>
      <c r="B181" s="94" t="s">
        <v>620</v>
      </c>
      <c r="C181" s="199" t="s">
        <v>621</v>
      </c>
      <c r="D181" s="199"/>
      <c r="E181" s="199"/>
      <c r="F181" s="95"/>
      <c r="G181" s="94" t="s">
        <v>323</v>
      </c>
      <c r="H181" s="97">
        <v>601.11599999999999</v>
      </c>
      <c r="I181" s="95"/>
      <c r="HV181" s="18" t="s">
        <v>370</v>
      </c>
      <c r="HW181" s="18" t="s">
        <v>161</v>
      </c>
      <c r="IR181" s="142">
        <f>125.51*0</f>
        <v>0</v>
      </c>
      <c r="IS181" s="142">
        <f>125.51*(1-0)</f>
        <v>125.51</v>
      </c>
    </row>
    <row r="182" spans="1:253" ht="15" customHeight="1" x14ac:dyDescent="0.3">
      <c r="A182" s="141">
        <v>139</v>
      </c>
      <c r="B182" s="94" t="s">
        <v>623</v>
      </c>
      <c r="C182" s="199" t="s">
        <v>624</v>
      </c>
      <c r="D182" s="199"/>
      <c r="E182" s="199"/>
      <c r="F182" s="95"/>
      <c r="G182" s="94" t="s">
        <v>323</v>
      </c>
      <c r="H182" s="97">
        <v>6008.52</v>
      </c>
      <c r="I182" s="95"/>
      <c r="HV182" s="18" t="s">
        <v>370</v>
      </c>
      <c r="HW182" s="18" t="s">
        <v>161</v>
      </c>
      <c r="IR182" s="142">
        <f>23.81*0</f>
        <v>0</v>
      </c>
      <c r="IS182" s="142">
        <f>23.81*(1-0)</f>
        <v>23.81</v>
      </c>
    </row>
    <row r="183" spans="1:253" ht="24" customHeight="1" x14ac:dyDescent="0.3">
      <c r="A183" s="141">
        <v>140</v>
      </c>
      <c r="B183" s="94" t="s">
        <v>405</v>
      </c>
      <c r="C183" s="199" t="s">
        <v>626</v>
      </c>
      <c r="D183" s="199"/>
      <c r="E183" s="199"/>
      <c r="F183" s="95"/>
      <c r="G183" s="94" t="s">
        <v>323</v>
      </c>
      <c r="H183" s="97">
        <v>325.54199999999997</v>
      </c>
      <c r="I183" s="95"/>
      <c r="HV183" s="18" t="s">
        <v>370</v>
      </c>
      <c r="HW183" s="18" t="s">
        <v>161</v>
      </c>
      <c r="IR183" s="142">
        <f>128.5*0</f>
        <v>0</v>
      </c>
      <c r="IS183" s="142">
        <f>128.5*(1-0)</f>
        <v>128.5</v>
      </c>
    </row>
    <row r="184" spans="1:253" ht="15" customHeight="1" x14ac:dyDescent="0.3">
      <c r="A184" s="141">
        <v>141</v>
      </c>
      <c r="B184" s="94" t="s">
        <v>628</v>
      </c>
      <c r="C184" s="199" t="s">
        <v>629</v>
      </c>
      <c r="D184" s="199"/>
      <c r="E184" s="199"/>
      <c r="F184" s="95"/>
      <c r="G184" s="94" t="s">
        <v>155</v>
      </c>
      <c r="H184" s="97">
        <v>460</v>
      </c>
      <c r="I184" s="95"/>
      <c r="HV184" s="18" t="s">
        <v>370</v>
      </c>
      <c r="HW184" s="18" t="s">
        <v>161</v>
      </c>
      <c r="IR184" s="142">
        <f>21.5*0</f>
        <v>0</v>
      </c>
      <c r="IS184" s="142">
        <f>21.5*(1-0)</f>
        <v>21.5</v>
      </c>
    </row>
    <row r="185" spans="1:253" ht="15" customHeight="1" x14ac:dyDescent="0.3">
      <c r="A185" s="141">
        <v>142</v>
      </c>
      <c r="B185" s="94" t="s">
        <v>453</v>
      </c>
      <c r="C185" s="199" t="s">
        <v>454</v>
      </c>
      <c r="D185" s="199"/>
      <c r="E185" s="199"/>
      <c r="F185" s="95"/>
      <c r="G185" s="94" t="s">
        <v>323</v>
      </c>
      <c r="H185" s="97">
        <v>0.65800000000000003</v>
      </c>
      <c r="I185" s="95"/>
      <c r="HV185" s="18" t="s">
        <v>370</v>
      </c>
      <c r="HW185" s="18" t="s">
        <v>161</v>
      </c>
      <c r="IR185" s="142">
        <f>330.49*0</f>
        <v>0</v>
      </c>
      <c r="IS185" s="142">
        <f>330.49*(1-0)</f>
        <v>330.49</v>
      </c>
    </row>
    <row r="186" spans="1:253" ht="15" customHeight="1" x14ac:dyDescent="0.3">
      <c r="A186" s="141">
        <v>143</v>
      </c>
      <c r="B186" s="94" t="s">
        <v>456</v>
      </c>
      <c r="C186" s="199" t="s">
        <v>457</v>
      </c>
      <c r="D186" s="199"/>
      <c r="E186" s="199"/>
      <c r="F186" s="95"/>
      <c r="G186" s="94" t="s">
        <v>323</v>
      </c>
      <c r="H186" s="97">
        <v>6.58</v>
      </c>
      <c r="I186" s="95"/>
      <c r="HV186" s="18" t="s">
        <v>370</v>
      </c>
      <c r="HW186" s="18" t="s">
        <v>161</v>
      </c>
      <c r="IR186" s="142">
        <f>28.2*0</f>
        <v>0</v>
      </c>
      <c r="IS186" s="142">
        <f>28.2*(1-0)</f>
        <v>28.2</v>
      </c>
    </row>
    <row r="187" spans="1:253" ht="15" customHeight="1" x14ac:dyDescent="0.3">
      <c r="A187" s="141">
        <v>144</v>
      </c>
      <c r="B187" s="94" t="s">
        <v>414</v>
      </c>
      <c r="C187" s="199" t="s">
        <v>415</v>
      </c>
      <c r="D187" s="199"/>
      <c r="E187" s="199"/>
      <c r="F187" s="95"/>
      <c r="G187" s="94" t="s">
        <v>323</v>
      </c>
      <c r="H187" s="97">
        <v>0.65800000000000003</v>
      </c>
      <c r="I187" s="95"/>
      <c r="HV187" s="18" t="s">
        <v>370</v>
      </c>
      <c r="HW187" s="18" t="s">
        <v>161</v>
      </c>
      <c r="IR187" s="142">
        <f>6485*0</f>
        <v>0</v>
      </c>
      <c r="IS187" s="142">
        <f>6485*(1-0)</f>
        <v>6485</v>
      </c>
    </row>
    <row r="188" spans="1:253" ht="15" customHeight="1" x14ac:dyDescent="0.3">
      <c r="A188" s="89" t="s">
        <v>96</v>
      </c>
      <c r="B188" s="89" t="s">
        <v>266</v>
      </c>
      <c r="C188" s="198" t="s">
        <v>267</v>
      </c>
      <c r="D188" s="198"/>
      <c r="E188" s="198"/>
      <c r="F188" s="89" t="s">
        <v>96</v>
      </c>
      <c r="G188" s="89" t="s">
        <v>96</v>
      </c>
      <c r="H188" s="92" t="s">
        <v>96</v>
      </c>
      <c r="I188" s="89" t="s">
        <v>96</v>
      </c>
    </row>
    <row r="189" spans="1:253" ht="15" customHeight="1" x14ac:dyDescent="0.3">
      <c r="A189" s="141">
        <v>145</v>
      </c>
      <c r="B189" s="94" t="s">
        <v>634</v>
      </c>
      <c r="C189" s="199" t="s">
        <v>635</v>
      </c>
      <c r="D189" s="199"/>
      <c r="E189" s="199"/>
      <c r="F189" s="95"/>
      <c r="G189" s="94" t="s">
        <v>176</v>
      </c>
      <c r="H189" s="97">
        <v>117.5</v>
      </c>
      <c r="I189" s="95"/>
      <c r="HV189" s="18" t="s">
        <v>266</v>
      </c>
      <c r="HW189" s="18" t="s">
        <v>161</v>
      </c>
      <c r="IR189" s="142">
        <f>301.99*0</f>
        <v>0</v>
      </c>
      <c r="IS189" s="142">
        <f>301.99*(1-0)</f>
        <v>301.99</v>
      </c>
    </row>
    <row r="190" spans="1:253" ht="15" customHeight="1" x14ac:dyDescent="0.3">
      <c r="A190" s="141">
        <v>146</v>
      </c>
      <c r="B190" s="94" t="s">
        <v>638</v>
      </c>
      <c r="C190" s="199" t="s">
        <v>639</v>
      </c>
      <c r="D190" s="199"/>
      <c r="E190" s="199"/>
      <c r="F190" s="95"/>
      <c r="G190" s="94" t="s">
        <v>176</v>
      </c>
      <c r="H190" s="97">
        <v>117.5</v>
      </c>
      <c r="I190" s="95"/>
      <c r="HV190" s="18" t="s">
        <v>266</v>
      </c>
      <c r="HW190" s="18" t="s">
        <v>161</v>
      </c>
      <c r="IR190" s="142">
        <f>184.5*0</f>
        <v>0</v>
      </c>
      <c r="IS190" s="142">
        <f>184.5*(1-0)</f>
        <v>184.5</v>
      </c>
    </row>
    <row r="191" spans="1:253" ht="104.25" customHeight="1" x14ac:dyDescent="0.3">
      <c r="A191" s="143">
        <v>147</v>
      </c>
      <c r="B191" s="105" t="s">
        <v>641</v>
      </c>
      <c r="C191" s="201" t="s">
        <v>642</v>
      </c>
      <c r="D191" s="201"/>
      <c r="E191" s="201"/>
      <c r="F191" s="95"/>
      <c r="G191" s="105" t="s">
        <v>212</v>
      </c>
      <c r="H191" s="108">
        <v>38</v>
      </c>
      <c r="I191" s="106" t="s">
        <v>912</v>
      </c>
      <c r="HV191" s="144" t="s">
        <v>266</v>
      </c>
      <c r="HW191" s="144" t="s">
        <v>489</v>
      </c>
      <c r="IR191" s="145">
        <f>300*1</f>
        <v>300</v>
      </c>
      <c r="IS191" s="145">
        <f>300*(1-1)</f>
        <v>0</v>
      </c>
    </row>
    <row r="192" spans="1:253" ht="24" customHeight="1" x14ac:dyDescent="0.3">
      <c r="A192" s="143">
        <v>148</v>
      </c>
      <c r="B192" s="105" t="s">
        <v>644</v>
      </c>
      <c r="C192" s="201" t="s">
        <v>645</v>
      </c>
      <c r="D192" s="201"/>
      <c r="E192" s="201"/>
      <c r="F192" s="95"/>
      <c r="G192" s="105" t="s">
        <v>212</v>
      </c>
      <c r="H192" s="108">
        <v>2</v>
      </c>
      <c r="I192" s="106"/>
      <c r="HV192" s="144" t="s">
        <v>266</v>
      </c>
      <c r="HW192" s="144" t="s">
        <v>489</v>
      </c>
      <c r="IR192" s="145">
        <f>300*1</f>
        <v>300</v>
      </c>
      <c r="IS192" s="145">
        <f>300*(1-1)</f>
        <v>0</v>
      </c>
    </row>
    <row r="193" spans="1:253" ht="92.7" customHeight="1" x14ac:dyDescent="0.3">
      <c r="A193" s="143">
        <v>149</v>
      </c>
      <c r="B193" s="105" t="s">
        <v>647</v>
      </c>
      <c r="C193" s="201" t="s">
        <v>648</v>
      </c>
      <c r="D193" s="201"/>
      <c r="E193" s="201"/>
      <c r="F193" s="95"/>
      <c r="G193" s="105" t="s">
        <v>212</v>
      </c>
      <c r="H193" s="108">
        <v>40</v>
      </c>
      <c r="I193" s="106" t="s">
        <v>913</v>
      </c>
      <c r="HV193" s="144" t="s">
        <v>266</v>
      </c>
      <c r="HW193" s="144" t="s">
        <v>489</v>
      </c>
      <c r="IR193" s="145">
        <f>60*1</f>
        <v>60</v>
      </c>
      <c r="IS193" s="145">
        <f>60*(1-1)</f>
        <v>0</v>
      </c>
    </row>
    <row r="194" spans="1:253" ht="24" customHeight="1" x14ac:dyDescent="0.3">
      <c r="A194" s="143">
        <v>150</v>
      </c>
      <c r="B194" s="105" t="s">
        <v>650</v>
      </c>
      <c r="C194" s="201" t="s">
        <v>651</v>
      </c>
      <c r="D194" s="201"/>
      <c r="E194" s="201"/>
      <c r="F194" s="95"/>
      <c r="G194" s="105" t="s">
        <v>212</v>
      </c>
      <c r="H194" s="108">
        <v>1</v>
      </c>
      <c r="I194" s="106"/>
      <c r="HV194" s="144" t="s">
        <v>266</v>
      </c>
      <c r="HW194" s="144" t="s">
        <v>489</v>
      </c>
      <c r="IR194" s="145">
        <f>200*1</f>
        <v>200</v>
      </c>
      <c r="IS194" s="145">
        <f>200*(1-1)</f>
        <v>0</v>
      </c>
    </row>
    <row r="195" spans="1:253" ht="24" customHeight="1" x14ac:dyDescent="0.3">
      <c r="A195" s="143">
        <v>151</v>
      </c>
      <c r="B195" s="105" t="s">
        <v>653</v>
      </c>
      <c r="C195" s="201" t="s">
        <v>654</v>
      </c>
      <c r="D195" s="201"/>
      <c r="E195" s="201"/>
      <c r="F195" s="95"/>
      <c r="G195" s="105" t="s">
        <v>212</v>
      </c>
      <c r="H195" s="108">
        <v>80</v>
      </c>
      <c r="I195" s="106"/>
      <c r="HV195" s="144" t="s">
        <v>266</v>
      </c>
      <c r="HW195" s="144" t="s">
        <v>489</v>
      </c>
      <c r="IR195" s="145">
        <f>20*1</f>
        <v>20</v>
      </c>
      <c r="IS195" s="145">
        <f>20*(1-1)</f>
        <v>0</v>
      </c>
    </row>
    <row r="196" spans="1:253" ht="24" customHeight="1" x14ac:dyDescent="0.3">
      <c r="A196" s="143">
        <v>152</v>
      </c>
      <c r="B196" s="105" t="s">
        <v>656</v>
      </c>
      <c r="C196" s="201" t="s">
        <v>657</v>
      </c>
      <c r="D196" s="201"/>
      <c r="E196" s="201"/>
      <c r="F196" s="95"/>
      <c r="G196" s="105" t="s">
        <v>212</v>
      </c>
      <c r="H196" s="108">
        <v>4</v>
      </c>
      <c r="I196" s="106"/>
      <c r="HV196" s="144" t="s">
        <v>266</v>
      </c>
      <c r="HW196" s="144" t="s">
        <v>489</v>
      </c>
      <c r="IR196" s="145">
        <f>50*1</f>
        <v>50</v>
      </c>
      <c r="IS196" s="145">
        <f>50*(1-1)</f>
        <v>0</v>
      </c>
    </row>
    <row r="197" spans="1:253" ht="15" customHeight="1" x14ac:dyDescent="0.3">
      <c r="A197" s="141">
        <v>153</v>
      </c>
      <c r="B197" s="94" t="s">
        <v>659</v>
      </c>
      <c r="C197" s="199" t="s">
        <v>660</v>
      </c>
      <c r="D197" s="199"/>
      <c r="E197" s="199"/>
      <c r="F197" s="95"/>
      <c r="G197" s="94" t="s">
        <v>323</v>
      </c>
      <c r="H197" s="97">
        <v>2.8559999999999999</v>
      </c>
      <c r="I197" s="95"/>
      <c r="HV197" s="18" t="s">
        <v>266</v>
      </c>
      <c r="HW197" s="18" t="s">
        <v>161</v>
      </c>
      <c r="IR197" s="142">
        <f>546*0</f>
        <v>0</v>
      </c>
      <c r="IS197" s="142">
        <f>546*(1-0)</f>
        <v>546</v>
      </c>
    </row>
    <row r="198" spans="1:253" ht="15" customHeight="1" x14ac:dyDescent="0.3">
      <c r="A198" s="89" t="s">
        <v>96</v>
      </c>
      <c r="B198" s="89" t="s">
        <v>661</v>
      </c>
      <c r="C198" s="198" t="s">
        <v>662</v>
      </c>
      <c r="D198" s="198"/>
      <c r="E198" s="198"/>
      <c r="F198" s="89" t="s">
        <v>96</v>
      </c>
      <c r="G198" s="89" t="s">
        <v>96</v>
      </c>
      <c r="H198" s="92" t="s">
        <v>96</v>
      </c>
      <c r="I198" s="89" t="s">
        <v>96</v>
      </c>
    </row>
    <row r="199" spans="1:253" ht="15" customHeight="1" x14ac:dyDescent="0.3">
      <c r="A199" s="141">
        <v>154</v>
      </c>
      <c r="B199" s="94" t="s">
        <v>664</v>
      </c>
      <c r="C199" s="199" t="s">
        <v>665</v>
      </c>
      <c r="D199" s="199"/>
      <c r="E199" s="199"/>
      <c r="F199" s="95"/>
      <c r="G199" s="94" t="s">
        <v>323</v>
      </c>
      <c r="H199" s="97">
        <v>5.25</v>
      </c>
      <c r="I199" s="95"/>
      <c r="HV199" s="18" t="s">
        <v>661</v>
      </c>
      <c r="HW199" s="18" t="s">
        <v>161</v>
      </c>
      <c r="IR199" s="142">
        <f>1105*0</f>
        <v>0</v>
      </c>
      <c r="IS199" s="142">
        <f>1105*(1-0)</f>
        <v>1105</v>
      </c>
    </row>
    <row r="200" spans="1:253" ht="15" customHeight="1" x14ac:dyDescent="0.3">
      <c r="A200" s="141">
        <v>155</v>
      </c>
      <c r="B200" s="94" t="s">
        <v>669</v>
      </c>
      <c r="C200" s="199" t="s">
        <v>670</v>
      </c>
      <c r="D200" s="199"/>
      <c r="E200" s="199"/>
      <c r="F200" s="95"/>
      <c r="G200" s="94" t="s">
        <v>323</v>
      </c>
      <c r="H200" s="97">
        <v>52.5</v>
      </c>
      <c r="I200" s="95"/>
      <c r="HV200" s="18" t="s">
        <v>661</v>
      </c>
      <c r="HW200" s="18" t="s">
        <v>161</v>
      </c>
      <c r="IR200" s="142">
        <f>127*0</f>
        <v>0</v>
      </c>
      <c r="IS200" s="142">
        <f>127*(1-0)</f>
        <v>127</v>
      </c>
    </row>
    <row r="201" spans="1:253" ht="15" customHeight="1" x14ac:dyDescent="0.3">
      <c r="A201" s="141">
        <v>156</v>
      </c>
      <c r="B201" s="94" t="s">
        <v>672</v>
      </c>
      <c r="C201" s="199" t="s">
        <v>673</v>
      </c>
      <c r="D201" s="199"/>
      <c r="E201" s="199"/>
      <c r="F201" s="95"/>
      <c r="G201" s="94" t="s">
        <v>674</v>
      </c>
      <c r="H201" s="97">
        <v>1</v>
      </c>
      <c r="I201" s="95"/>
      <c r="HV201" s="18" t="s">
        <v>661</v>
      </c>
      <c r="HW201" s="18" t="s">
        <v>161</v>
      </c>
      <c r="IR201" s="142">
        <f>25000*0</f>
        <v>0</v>
      </c>
      <c r="IS201" s="142">
        <f>25000*(1-0)</f>
        <v>25000</v>
      </c>
    </row>
    <row r="202" spans="1:253" ht="24" customHeight="1" x14ac:dyDescent="0.3">
      <c r="A202" s="141">
        <v>157</v>
      </c>
      <c r="B202" s="94" t="s">
        <v>676</v>
      </c>
      <c r="C202" s="199" t="s">
        <v>677</v>
      </c>
      <c r="D202" s="199"/>
      <c r="E202" s="199"/>
      <c r="F202" s="95"/>
      <c r="G202" s="94" t="s">
        <v>674</v>
      </c>
      <c r="H202" s="97">
        <v>1</v>
      </c>
      <c r="I202" s="95"/>
      <c r="HV202" s="18" t="s">
        <v>661</v>
      </c>
      <c r="HW202" s="18" t="s">
        <v>161</v>
      </c>
      <c r="IR202" s="142">
        <f>10000*0</f>
        <v>0</v>
      </c>
      <c r="IS202" s="142">
        <f>10000*(1-0)</f>
        <v>10000</v>
      </c>
    </row>
    <row r="203" spans="1:253" ht="15" customHeight="1" x14ac:dyDescent="0.3">
      <c r="A203" s="89" t="s">
        <v>96</v>
      </c>
      <c r="B203" s="89" t="s">
        <v>548</v>
      </c>
      <c r="C203" s="198" t="s">
        <v>549</v>
      </c>
      <c r="D203" s="198"/>
      <c r="E203" s="198"/>
      <c r="F203" s="89" t="s">
        <v>96</v>
      </c>
      <c r="G203" s="89" t="s">
        <v>96</v>
      </c>
      <c r="H203" s="92" t="s">
        <v>96</v>
      </c>
      <c r="I203" s="89" t="s">
        <v>96</v>
      </c>
    </row>
    <row r="204" spans="1:253" ht="24" customHeight="1" x14ac:dyDescent="0.3">
      <c r="A204" s="141">
        <v>158</v>
      </c>
      <c r="B204" s="94" t="s">
        <v>679</v>
      </c>
      <c r="C204" s="199" t="s">
        <v>680</v>
      </c>
      <c r="D204" s="199"/>
      <c r="E204" s="199"/>
      <c r="F204" s="95"/>
      <c r="G204" s="94" t="s">
        <v>212</v>
      </c>
      <c r="H204" s="97">
        <v>1</v>
      </c>
      <c r="I204" s="95"/>
      <c r="HV204" s="18" t="s">
        <v>548</v>
      </c>
      <c r="HW204" s="18" t="s">
        <v>161</v>
      </c>
      <c r="IR204" s="142">
        <f>2525*0.003124752</f>
        <v>7.8899988000000008</v>
      </c>
      <c r="IS204" s="142">
        <f>2525*(1-0.003124752)</f>
        <v>2517.1100012000002</v>
      </c>
    </row>
    <row r="205" spans="1:253" ht="24" customHeight="1" x14ac:dyDescent="0.3">
      <c r="A205" s="143">
        <v>159</v>
      </c>
      <c r="B205" s="105" t="s">
        <v>682</v>
      </c>
      <c r="C205" s="201" t="s">
        <v>683</v>
      </c>
      <c r="D205" s="201"/>
      <c r="E205" s="201"/>
      <c r="F205" s="95"/>
      <c r="G205" s="105" t="s">
        <v>212</v>
      </c>
      <c r="H205" s="108">
        <v>1</v>
      </c>
      <c r="I205" s="106"/>
      <c r="HV205" s="144" t="s">
        <v>548</v>
      </c>
      <c r="HW205" s="144" t="s">
        <v>489</v>
      </c>
      <c r="IR205" s="145">
        <f>23190*1</f>
        <v>23190</v>
      </c>
      <c r="IS205" s="145">
        <f>23190*(1-1)</f>
        <v>0</v>
      </c>
    </row>
  </sheetData>
  <mergeCells count="205">
    <mergeCell ref="C199:E199"/>
    <mergeCell ref="C200:E200"/>
    <mergeCell ref="C201:E201"/>
    <mergeCell ref="C202:E202"/>
    <mergeCell ref="C203:E203"/>
    <mergeCell ref="C204:E204"/>
    <mergeCell ref="C205:E205"/>
    <mergeCell ref="C190:E190"/>
    <mergeCell ref="C191:E191"/>
    <mergeCell ref="C192:E192"/>
    <mergeCell ref="C193:E193"/>
    <mergeCell ref="C194:E194"/>
    <mergeCell ref="C195:E195"/>
    <mergeCell ref="C196:E196"/>
    <mergeCell ref="C197:E197"/>
    <mergeCell ref="C198:E198"/>
    <mergeCell ref="C181:E181"/>
    <mergeCell ref="C182:E182"/>
    <mergeCell ref="C183:E183"/>
    <mergeCell ref="C184:E184"/>
    <mergeCell ref="C185:E185"/>
    <mergeCell ref="C186:E186"/>
    <mergeCell ref="C187:E187"/>
    <mergeCell ref="C188:E188"/>
    <mergeCell ref="C189:E189"/>
    <mergeCell ref="C172:E172"/>
    <mergeCell ref="C173:E173"/>
    <mergeCell ref="C174:E174"/>
    <mergeCell ref="C175:E175"/>
    <mergeCell ref="C176:E176"/>
    <mergeCell ref="C177:E177"/>
    <mergeCell ref="C178:E178"/>
    <mergeCell ref="C179:E179"/>
    <mergeCell ref="C180:E180"/>
    <mergeCell ref="C163:E163"/>
    <mergeCell ref="C164:E164"/>
    <mergeCell ref="C165:E165"/>
    <mergeCell ref="C166:E166"/>
    <mergeCell ref="C167:E167"/>
    <mergeCell ref="C168:E168"/>
    <mergeCell ref="C169:E169"/>
    <mergeCell ref="C170:E170"/>
    <mergeCell ref="C171:E171"/>
    <mergeCell ref="C154:E154"/>
    <mergeCell ref="C155:E155"/>
    <mergeCell ref="C156:E156"/>
    <mergeCell ref="C157:E157"/>
    <mergeCell ref="C158:E158"/>
    <mergeCell ref="C159:E159"/>
    <mergeCell ref="C160:E160"/>
    <mergeCell ref="C161:E161"/>
    <mergeCell ref="C162:E162"/>
    <mergeCell ref="C145:E145"/>
    <mergeCell ref="C146:E146"/>
    <mergeCell ref="C147:E147"/>
    <mergeCell ref="C148:E148"/>
    <mergeCell ref="C149:E149"/>
    <mergeCell ref="C150:E150"/>
    <mergeCell ref="C151:E151"/>
    <mergeCell ref="C152:E152"/>
    <mergeCell ref="C153:E153"/>
    <mergeCell ref="C136:E136"/>
    <mergeCell ref="C137:E137"/>
    <mergeCell ref="C138:E138"/>
    <mergeCell ref="C139:E139"/>
    <mergeCell ref="C140:E140"/>
    <mergeCell ref="C141:E141"/>
    <mergeCell ref="C142:E142"/>
    <mergeCell ref="C143:E143"/>
    <mergeCell ref="C144:E144"/>
    <mergeCell ref="C127:E127"/>
    <mergeCell ref="C128:E128"/>
    <mergeCell ref="C129:E129"/>
    <mergeCell ref="C130:E130"/>
    <mergeCell ref="C131:E131"/>
    <mergeCell ref="C132:E132"/>
    <mergeCell ref="C133:E133"/>
    <mergeCell ref="C134:E134"/>
    <mergeCell ref="C135:E135"/>
    <mergeCell ref="C118:E118"/>
    <mergeCell ref="C119:E119"/>
    <mergeCell ref="C120:E120"/>
    <mergeCell ref="C121:E121"/>
    <mergeCell ref="C122:E122"/>
    <mergeCell ref="C123:E123"/>
    <mergeCell ref="C124:E124"/>
    <mergeCell ref="C125:E125"/>
    <mergeCell ref="C126:E126"/>
    <mergeCell ref="C109:E109"/>
    <mergeCell ref="C110:E110"/>
    <mergeCell ref="C111:E111"/>
    <mergeCell ref="C112:E112"/>
    <mergeCell ref="C113:E113"/>
    <mergeCell ref="C114:E114"/>
    <mergeCell ref="C115:E115"/>
    <mergeCell ref="C116:E116"/>
    <mergeCell ref="C117:E117"/>
    <mergeCell ref="C100:E100"/>
    <mergeCell ref="C101:E101"/>
    <mergeCell ref="C102:E102"/>
    <mergeCell ref="C103:E103"/>
    <mergeCell ref="C104:E104"/>
    <mergeCell ref="C105:E105"/>
    <mergeCell ref="C106:E106"/>
    <mergeCell ref="C107:E107"/>
    <mergeCell ref="C108:E108"/>
    <mergeCell ref="C91:E91"/>
    <mergeCell ref="C92:E92"/>
    <mergeCell ref="C93:E93"/>
    <mergeCell ref="C94:E94"/>
    <mergeCell ref="C95:E95"/>
    <mergeCell ref="C96:E96"/>
    <mergeCell ref="C97:E97"/>
    <mergeCell ref="C98:E98"/>
    <mergeCell ref="C99:E99"/>
    <mergeCell ref="C82:E82"/>
    <mergeCell ref="C83:E83"/>
    <mergeCell ref="C84:E84"/>
    <mergeCell ref="C85:E85"/>
    <mergeCell ref="C86:E86"/>
    <mergeCell ref="C87:E87"/>
    <mergeCell ref="C88:E88"/>
    <mergeCell ref="C89:E89"/>
    <mergeCell ref="C90:E90"/>
    <mergeCell ref="C73:E73"/>
    <mergeCell ref="C74:E74"/>
    <mergeCell ref="C75:E75"/>
    <mergeCell ref="C76:E76"/>
    <mergeCell ref="C77:E77"/>
    <mergeCell ref="C78:E78"/>
    <mergeCell ref="C79:E79"/>
    <mergeCell ref="C80:E80"/>
    <mergeCell ref="C81:E81"/>
    <mergeCell ref="C64:E64"/>
    <mergeCell ref="C65:E65"/>
    <mergeCell ref="C66:E66"/>
    <mergeCell ref="C67:E67"/>
    <mergeCell ref="C68:E68"/>
    <mergeCell ref="C69:E69"/>
    <mergeCell ref="C70:E70"/>
    <mergeCell ref="C71:E71"/>
    <mergeCell ref="C72:E72"/>
    <mergeCell ref="C55:E55"/>
    <mergeCell ref="C56:E56"/>
    <mergeCell ref="C57:E57"/>
    <mergeCell ref="C58:E58"/>
    <mergeCell ref="C59:E59"/>
    <mergeCell ref="C60:E60"/>
    <mergeCell ref="C61:E61"/>
    <mergeCell ref="C62:E62"/>
    <mergeCell ref="C63:E63"/>
    <mergeCell ref="C46:E46"/>
    <mergeCell ref="C47:E47"/>
    <mergeCell ref="C48:E48"/>
    <mergeCell ref="C49:E49"/>
    <mergeCell ref="C50:E50"/>
    <mergeCell ref="C51:E51"/>
    <mergeCell ref="C52:E52"/>
    <mergeCell ref="C53:E53"/>
    <mergeCell ref="C54:E54"/>
    <mergeCell ref="C37:E37"/>
    <mergeCell ref="C38:E38"/>
    <mergeCell ref="C39:E39"/>
    <mergeCell ref="C40:E40"/>
    <mergeCell ref="C41:E41"/>
    <mergeCell ref="C42:E42"/>
    <mergeCell ref="C43:E43"/>
    <mergeCell ref="C44:E44"/>
    <mergeCell ref="C45:E45"/>
    <mergeCell ref="C28:E28"/>
    <mergeCell ref="C29:E29"/>
    <mergeCell ref="C30:E30"/>
    <mergeCell ref="C31:E31"/>
    <mergeCell ref="C32:E32"/>
    <mergeCell ref="C33:E33"/>
    <mergeCell ref="C34:E34"/>
    <mergeCell ref="C35:E35"/>
    <mergeCell ref="C36:E36"/>
    <mergeCell ref="C19:E19"/>
    <mergeCell ref="C20:E20"/>
    <mergeCell ref="C21:E21"/>
    <mergeCell ref="C22:E22"/>
    <mergeCell ref="C23:E23"/>
    <mergeCell ref="C24:E24"/>
    <mergeCell ref="C25:E25"/>
    <mergeCell ref="C26:E26"/>
    <mergeCell ref="C27:E27"/>
    <mergeCell ref="C10:E10"/>
    <mergeCell ref="C11:E11"/>
    <mergeCell ref="C12:E12"/>
    <mergeCell ref="C13:E13"/>
    <mergeCell ref="C14:E14"/>
    <mergeCell ref="C15:E15"/>
    <mergeCell ref="C16:E16"/>
    <mergeCell ref="C17:E17"/>
    <mergeCell ref="C18:E18"/>
    <mergeCell ref="C1:E1"/>
    <mergeCell ref="C2:E2"/>
    <mergeCell ref="C3:E3"/>
    <mergeCell ref="C4:E4"/>
    <mergeCell ref="C5:E5"/>
    <mergeCell ref="C6:E6"/>
    <mergeCell ref="C7:E7"/>
    <mergeCell ref="C8:E8"/>
    <mergeCell ref="C9:E9"/>
  </mergeCells>
  <pageMargins left="7.8472222222222193E-2" right="7.8472222222222193E-2" top="0.196527777777778" bottom="0.27569444444444402" header="0.511811023622047" footer="0.511811023622047"/>
  <pageSetup paperSize="9" fitToHeight="18" orientation="landscape"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4500"/>
    <pageSetUpPr fitToPage="1"/>
  </sheetPr>
  <dimension ref="A1:I35"/>
  <sheetViews>
    <sheetView zoomScaleNormal="100" workbookViewId="0"/>
  </sheetViews>
  <sheetFormatPr defaultColWidth="12.109375" defaultRowHeight="14.4" x14ac:dyDescent="0.3"/>
  <cols>
    <col min="1" max="1" width="17.77734375" style="22" customWidth="1"/>
    <col min="2" max="2" width="12.88671875" style="22" customWidth="1"/>
    <col min="3" max="3" width="27.109375" style="22" customWidth="1"/>
    <col min="4" max="4" width="20.21875" style="22" customWidth="1"/>
    <col min="5" max="5" width="14" style="22" customWidth="1"/>
    <col min="6" max="6" width="27.109375" style="22" customWidth="1"/>
    <col min="7" max="7" width="18.77734375" style="22" customWidth="1"/>
    <col min="8" max="8" width="12.88671875" style="22" customWidth="1"/>
    <col min="9" max="9" width="27.109375" style="22" customWidth="1"/>
  </cols>
  <sheetData>
    <row r="1" spans="1:9" ht="39.75" customHeight="1" x14ac:dyDescent="0.25">
      <c r="A1" s="172" t="s">
        <v>914</v>
      </c>
      <c r="B1" s="172"/>
      <c r="C1" s="172"/>
      <c r="D1" s="172"/>
      <c r="E1" s="172"/>
      <c r="F1" s="172"/>
      <c r="G1" s="172"/>
      <c r="H1" s="172"/>
      <c r="I1" s="172"/>
    </row>
    <row r="2" spans="1:9" ht="15" customHeight="1" x14ac:dyDescent="0.25">
      <c r="A2" s="13" t="s">
        <v>1</v>
      </c>
      <c r="B2" s="13"/>
      <c r="C2" s="12" t="str">
        <f>'Stavební rozpočet'!D2</f>
        <v>DEMOLICE PANELOVÉHO DOMU V HORNÍM PARKU</v>
      </c>
      <c r="D2" s="12"/>
      <c r="E2" s="11" t="s">
        <v>2</v>
      </c>
      <c r="F2" s="11" t="str">
        <f>'Stavební rozpočet'!J2</f>
        <v>MĚSTO ZNOJMO</v>
      </c>
      <c r="G2" s="11"/>
      <c r="H2" s="11" t="s">
        <v>3</v>
      </c>
      <c r="I2" s="10"/>
    </row>
    <row r="3" spans="1:9" ht="15" customHeight="1" x14ac:dyDescent="0.25">
      <c r="A3" s="13"/>
      <c r="B3" s="13"/>
      <c r="C3" s="12"/>
      <c r="D3" s="12"/>
      <c r="E3" s="11"/>
      <c r="F3" s="11"/>
      <c r="G3" s="11"/>
      <c r="H3" s="11"/>
      <c r="I3" s="10"/>
    </row>
    <row r="4" spans="1:9" ht="15" customHeight="1" x14ac:dyDescent="0.25">
      <c r="A4" s="9" t="s">
        <v>4</v>
      </c>
      <c r="B4" s="9"/>
      <c r="C4" s="8" t="str">
        <f>'Stavební rozpočet'!D4</f>
        <v>Postupná demolice panelového domu</v>
      </c>
      <c r="D4" s="8"/>
      <c r="E4" s="8" t="s">
        <v>5</v>
      </c>
      <c r="F4" s="8" t="str">
        <f>'Stavební rozpočet'!J4</f>
        <v>Ing.  Roman Zvěřina, Dolní Česká 358/25, 669 02 Znojmo</v>
      </c>
      <c r="G4" s="8"/>
      <c r="H4" s="8" t="s">
        <v>3</v>
      </c>
      <c r="I4" s="7" t="s">
        <v>6</v>
      </c>
    </row>
    <row r="5" spans="1:9" ht="15" customHeight="1" x14ac:dyDescent="0.25">
      <c r="A5" s="9"/>
      <c r="B5" s="9"/>
      <c r="C5" s="8"/>
      <c r="D5" s="8"/>
      <c r="E5" s="8"/>
      <c r="F5" s="8"/>
      <c r="G5" s="8"/>
      <c r="H5" s="8"/>
      <c r="I5" s="7"/>
    </row>
    <row r="6" spans="1:9" ht="15" customHeight="1" x14ac:dyDescent="0.25">
      <c r="A6" s="9" t="s">
        <v>7</v>
      </c>
      <c r="B6" s="9"/>
      <c r="C6" s="8" t="str">
        <f>'Stavební rozpočet'!D6</f>
        <v>k.ú.Znojmo-město parc.č.258/5</v>
      </c>
      <c r="D6" s="8"/>
      <c r="E6" s="8" t="s">
        <v>8</v>
      </c>
      <c r="F6" s="8" t="str">
        <f>'Stavební rozpočet'!J6</f>
        <v> </v>
      </c>
      <c r="G6" s="8"/>
      <c r="H6" s="8" t="s">
        <v>3</v>
      </c>
      <c r="I6" s="7"/>
    </row>
    <row r="7" spans="1:9" ht="15" customHeight="1" x14ac:dyDescent="0.25">
      <c r="A7" s="9"/>
      <c r="B7" s="9"/>
      <c r="C7" s="8"/>
      <c r="D7" s="8"/>
      <c r="E7" s="8"/>
      <c r="F7" s="8"/>
      <c r="G7" s="8"/>
      <c r="H7" s="8"/>
      <c r="I7" s="7"/>
    </row>
    <row r="8" spans="1:9" ht="15" customHeight="1" x14ac:dyDescent="0.25">
      <c r="A8" s="9" t="s">
        <v>9</v>
      </c>
      <c r="B8" s="9"/>
      <c r="C8" s="8" t="str">
        <f>'Stavební rozpočet'!H4</f>
        <v xml:space="preserve"> </v>
      </c>
      <c r="D8" s="8"/>
      <c r="E8" s="8" t="s">
        <v>10</v>
      </c>
      <c r="F8" s="8" t="str">
        <f>'Stavební rozpočet'!H6</f>
        <v xml:space="preserve"> </v>
      </c>
      <c r="G8" s="8"/>
      <c r="H8" s="6" t="s">
        <v>11</v>
      </c>
      <c r="I8" s="5">
        <v>85</v>
      </c>
    </row>
    <row r="9" spans="1:9" ht="13.2" x14ac:dyDescent="0.25">
      <c r="A9" s="9"/>
      <c r="B9" s="9"/>
      <c r="C9" s="8"/>
      <c r="D9" s="8"/>
      <c r="E9" s="8"/>
      <c r="F9" s="8"/>
      <c r="G9" s="8"/>
      <c r="H9" s="6"/>
      <c r="I9" s="5"/>
    </row>
    <row r="10" spans="1:9" ht="15" customHeight="1" x14ac:dyDescent="0.25">
      <c r="A10" s="4" t="s">
        <v>12</v>
      </c>
      <c r="B10" s="4"/>
      <c r="C10" s="3" t="str">
        <f>'Stavební rozpočet'!D8</f>
        <v>80331</v>
      </c>
      <c r="D10" s="3"/>
      <c r="E10" s="3" t="s">
        <v>13</v>
      </c>
      <c r="F10" s="3" t="str">
        <f>'Stavební rozpočet'!J8</f>
        <v>Bohuslav Hemala</v>
      </c>
      <c r="G10" s="3"/>
      <c r="H10" s="2" t="s">
        <v>14</v>
      </c>
      <c r="I10" s="1" t="str">
        <f>'Stavební rozpočet'!H8</f>
        <v>16.05.2025</v>
      </c>
    </row>
    <row r="11" spans="1:9" ht="13.2" x14ac:dyDescent="0.25">
      <c r="A11" s="4"/>
      <c r="B11" s="4"/>
      <c r="C11" s="3"/>
      <c r="D11" s="3"/>
      <c r="E11" s="3"/>
      <c r="F11" s="3"/>
      <c r="G11" s="3"/>
      <c r="H11" s="2"/>
      <c r="I11" s="1"/>
    </row>
    <row r="12" spans="1:9" ht="22.8" x14ac:dyDescent="0.25">
      <c r="A12" s="151" t="s">
        <v>31</v>
      </c>
      <c r="B12" s="151"/>
      <c r="C12" s="151"/>
      <c r="D12" s="151"/>
      <c r="E12" s="151"/>
      <c r="F12" s="151"/>
      <c r="G12" s="151"/>
      <c r="H12" s="151"/>
      <c r="I12" s="151"/>
    </row>
    <row r="13" spans="1:9" ht="26.25" customHeight="1" x14ac:dyDescent="0.25">
      <c r="A13" s="24" t="s">
        <v>32</v>
      </c>
      <c r="B13" s="152" t="s">
        <v>33</v>
      </c>
      <c r="C13" s="152"/>
      <c r="D13" s="25" t="s">
        <v>34</v>
      </c>
      <c r="E13" s="152" t="s">
        <v>35</v>
      </c>
      <c r="F13" s="152"/>
      <c r="G13" s="25" t="s">
        <v>915</v>
      </c>
      <c r="H13" s="152" t="s">
        <v>81</v>
      </c>
      <c r="I13" s="152"/>
    </row>
    <row r="14" spans="1:9" ht="15.6" x14ac:dyDescent="0.25">
      <c r="A14" s="26" t="s">
        <v>36</v>
      </c>
      <c r="B14" s="27" t="s">
        <v>37</v>
      </c>
      <c r="C14" s="28">
        <f>SUM('Stavební rozpočet (SO 01.1)'!AB12:AB430)</f>
        <v>0</v>
      </c>
      <c r="D14" s="153" t="s">
        <v>38</v>
      </c>
      <c r="E14" s="153"/>
      <c r="F14" s="28">
        <f>'VORN objektu (SO 01.1)'!I15</f>
        <v>0</v>
      </c>
      <c r="G14" s="153" t="s">
        <v>82</v>
      </c>
      <c r="H14" s="153"/>
      <c r="I14" s="28">
        <f>'VORN objektu (SO 01.1)'!I21</f>
        <v>0</v>
      </c>
    </row>
    <row r="15" spans="1:9" ht="15.6" x14ac:dyDescent="0.25">
      <c r="A15" s="29"/>
      <c r="B15" s="27" t="s">
        <v>39</v>
      </c>
      <c r="C15" s="28">
        <f>SUM('Stavební rozpočet (SO 01.1)'!AC12:AC430)</f>
        <v>0</v>
      </c>
      <c r="D15" s="153" t="s">
        <v>40</v>
      </c>
      <c r="E15" s="153"/>
      <c r="F15" s="28">
        <f>'VORN objektu (SO 01.1)'!I16</f>
        <v>0</v>
      </c>
      <c r="G15" s="153" t="s">
        <v>83</v>
      </c>
      <c r="H15" s="153"/>
      <c r="I15" s="28">
        <f>'VORN objektu (SO 01.1)'!I22</f>
        <v>0</v>
      </c>
    </row>
    <row r="16" spans="1:9" ht="15.6" x14ac:dyDescent="0.25">
      <c r="A16" s="26" t="s">
        <v>41</v>
      </c>
      <c r="B16" s="27" t="s">
        <v>37</v>
      </c>
      <c r="C16" s="28">
        <f>SUM('Stavební rozpočet (SO 01.1)'!AD12:AD430)</f>
        <v>0</v>
      </c>
      <c r="D16" s="153" t="s">
        <v>42</v>
      </c>
      <c r="E16" s="153"/>
      <c r="F16" s="28">
        <f>'VORN objektu (SO 01.1)'!I17</f>
        <v>0</v>
      </c>
      <c r="G16" s="153" t="s">
        <v>84</v>
      </c>
      <c r="H16" s="153"/>
      <c r="I16" s="28">
        <f>'VORN objektu (SO 01.1)'!I23</f>
        <v>0</v>
      </c>
    </row>
    <row r="17" spans="1:9" ht="15.6" x14ac:dyDescent="0.25">
      <c r="A17" s="29"/>
      <c r="B17" s="27" t="s">
        <v>39</v>
      </c>
      <c r="C17" s="28">
        <f>SUM('Stavební rozpočet (SO 01.1)'!AE12:AE430)</f>
        <v>0</v>
      </c>
      <c r="D17" s="153"/>
      <c r="E17" s="153"/>
      <c r="F17" s="30"/>
      <c r="G17" s="153" t="s">
        <v>85</v>
      </c>
      <c r="H17" s="153"/>
      <c r="I17" s="28">
        <f>'VORN objektu (SO 01.1)'!I24</f>
        <v>0</v>
      </c>
    </row>
    <row r="18" spans="1:9" ht="15.6" x14ac:dyDescent="0.25">
      <c r="A18" s="26" t="s">
        <v>43</v>
      </c>
      <c r="B18" s="27" t="s">
        <v>37</v>
      </c>
      <c r="C18" s="28">
        <f>SUM('Stavební rozpočet (SO 01.1)'!AF12:AF430)</f>
        <v>0</v>
      </c>
      <c r="D18" s="153"/>
      <c r="E18" s="153"/>
      <c r="F18" s="30"/>
      <c r="G18" s="153" t="s">
        <v>86</v>
      </c>
      <c r="H18" s="153"/>
      <c r="I18" s="28">
        <f>'VORN objektu (SO 01.1)'!I25</f>
        <v>0</v>
      </c>
    </row>
    <row r="19" spans="1:9" ht="15.6" x14ac:dyDescent="0.25">
      <c r="A19" s="29"/>
      <c r="B19" s="27" t="s">
        <v>39</v>
      </c>
      <c r="C19" s="28">
        <f>SUM('Stavební rozpočet (SO 01.1)'!AG12:AG430)</f>
        <v>0</v>
      </c>
      <c r="D19" s="153"/>
      <c r="E19" s="153"/>
      <c r="F19" s="30"/>
      <c r="G19" s="153" t="s">
        <v>87</v>
      </c>
      <c r="H19" s="153"/>
      <c r="I19" s="28">
        <f>'VORN objektu (SO 01.1)'!I26</f>
        <v>0</v>
      </c>
    </row>
    <row r="20" spans="1:9" ht="15.6" x14ac:dyDescent="0.25">
      <c r="A20" s="154" t="s">
        <v>44</v>
      </c>
      <c r="B20" s="154"/>
      <c r="C20" s="28">
        <f>SUM('Stavební rozpočet (SO 01.1)'!AH12:AH430)</f>
        <v>0</v>
      </c>
      <c r="D20" s="153"/>
      <c r="E20" s="153"/>
      <c r="F20" s="30"/>
      <c r="G20" s="153"/>
      <c r="H20" s="153"/>
      <c r="I20" s="30"/>
    </row>
    <row r="21" spans="1:9" ht="15.6" x14ac:dyDescent="0.25">
      <c r="A21" s="155" t="s">
        <v>45</v>
      </c>
      <c r="B21" s="155"/>
      <c r="C21" s="31">
        <f>SUM('Stavební rozpočet (SO 01.1)'!Z12:Z430)</f>
        <v>0</v>
      </c>
      <c r="D21" s="156"/>
      <c r="E21" s="156"/>
      <c r="F21" s="32"/>
      <c r="G21" s="156"/>
      <c r="H21" s="156"/>
      <c r="I21" s="32"/>
    </row>
    <row r="22" spans="1:9" ht="16.5" customHeight="1" x14ac:dyDescent="0.25">
      <c r="A22" s="157" t="s">
        <v>46</v>
      </c>
      <c r="B22" s="157"/>
      <c r="C22" s="33">
        <f>ROUND(SUM(C14:C21),1)</f>
        <v>0</v>
      </c>
      <c r="D22" s="158" t="s">
        <v>47</v>
      </c>
      <c r="E22" s="158"/>
      <c r="F22" s="33">
        <f>SUM(F14:F21)</f>
        <v>0</v>
      </c>
      <c r="G22" s="158" t="s">
        <v>916</v>
      </c>
      <c r="H22" s="158"/>
      <c r="I22" s="33">
        <f>SUM(I14:I21)</f>
        <v>0</v>
      </c>
    </row>
    <row r="23" spans="1:9" ht="15.6" x14ac:dyDescent="0.3">
      <c r="G23" s="154" t="s">
        <v>917</v>
      </c>
      <c r="H23" s="154"/>
      <c r="I23" s="28">
        <f>'VORN objektu (SO 01.1)'!I36</f>
        <v>0</v>
      </c>
    </row>
    <row r="25" spans="1:9" ht="15.6" x14ac:dyDescent="0.3">
      <c r="A25" s="160" t="s">
        <v>49</v>
      </c>
      <c r="B25" s="160"/>
      <c r="C25" s="34">
        <f>ROUND(SUM('Stavební rozpočet (SO 01.1)'!AJ12:AJ430),1)</f>
        <v>0</v>
      </c>
      <c r="D25" s="35"/>
      <c r="E25" s="35"/>
      <c r="F25" s="35"/>
      <c r="G25" s="35"/>
      <c r="H25" s="35"/>
      <c r="I25" s="35"/>
    </row>
    <row r="26" spans="1:9" ht="15.6" x14ac:dyDescent="0.25">
      <c r="A26" s="161" t="s">
        <v>50</v>
      </c>
      <c r="B26" s="161"/>
      <c r="C26" s="36">
        <f>ROUND(SUM('Stavební rozpočet (SO 01.1)'!AK12:AK430),1)</f>
        <v>0</v>
      </c>
      <c r="D26" s="162" t="s">
        <v>51</v>
      </c>
      <c r="E26" s="162"/>
      <c r="F26" s="34">
        <f>ROUND(C26*(12/100),2)</f>
        <v>0</v>
      </c>
      <c r="G26" s="162" t="s">
        <v>52</v>
      </c>
      <c r="H26" s="162"/>
      <c r="I26" s="34">
        <f>ROUND(SUM(C25:C27),1)</f>
        <v>0</v>
      </c>
    </row>
    <row r="27" spans="1:9" ht="15.6" x14ac:dyDescent="0.25">
      <c r="A27" s="161" t="s">
        <v>53</v>
      </c>
      <c r="B27" s="161"/>
      <c r="C27" s="36">
        <f>ROUND(SUM('Stavební rozpočet (SO 01.1)'!AL12:AL430)+(F22+I22+F23+I23+I24),1)</f>
        <v>0</v>
      </c>
      <c r="D27" s="163" t="s">
        <v>54</v>
      </c>
      <c r="E27" s="163"/>
      <c r="F27" s="36">
        <f>ROUND(C27*(21/100),2)</f>
        <v>0</v>
      </c>
      <c r="G27" s="163" t="s">
        <v>55</v>
      </c>
      <c r="H27" s="163"/>
      <c r="I27" s="36">
        <f>ROUND(SUM(F26:F27)+I26,1)</f>
        <v>0</v>
      </c>
    </row>
    <row r="29" spans="1:9" ht="15" x14ac:dyDescent="0.25">
      <c r="A29" s="164" t="s">
        <v>56</v>
      </c>
      <c r="B29" s="164"/>
      <c r="C29" s="164"/>
      <c r="D29" s="165" t="s">
        <v>57</v>
      </c>
      <c r="E29" s="165"/>
      <c r="F29" s="165"/>
      <c r="G29" s="165" t="s">
        <v>58</v>
      </c>
      <c r="H29" s="165"/>
      <c r="I29" s="165"/>
    </row>
    <row r="30" spans="1:9" ht="15" x14ac:dyDescent="0.25">
      <c r="A30" s="166"/>
      <c r="B30" s="166"/>
      <c r="C30" s="166"/>
      <c r="D30" s="167"/>
      <c r="E30" s="167"/>
      <c r="F30" s="167"/>
      <c r="G30" s="167"/>
      <c r="H30" s="167"/>
      <c r="I30" s="167"/>
    </row>
    <row r="31" spans="1:9" ht="15" x14ac:dyDescent="0.25">
      <c r="A31" s="166"/>
      <c r="B31" s="166"/>
      <c r="C31" s="166"/>
      <c r="D31" s="167"/>
      <c r="E31" s="167"/>
      <c r="F31" s="167"/>
      <c r="G31" s="167"/>
      <c r="H31" s="167"/>
      <c r="I31" s="167"/>
    </row>
    <row r="32" spans="1:9" ht="15" x14ac:dyDescent="0.25">
      <c r="A32" s="166"/>
      <c r="B32" s="166"/>
      <c r="C32" s="166"/>
      <c r="D32" s="167"/>
      <c r="E32" s="167"/>
      <c r="F32" s="167"/>
      <c r="G32" s="167"/>
      <c r="H32" s="167"/>
      <c r="I32" s="167"/>
    </row>
    <row r="33" spans="1:9" ht="15" x14ac:dyDescent="0.25">
      <c r="A33" s="168" t="s">
        <v>59</v>
      </c>
      <c r="B33" s="168"/>
      <c r="C33" s="168"/>
      <c r="D33" s="169" t="s">
        <v>59</v>
      </c>
      <c r="E33" s="169"/>
      <c r="F33" s="169"/>
      <c r="G33" s="169" t="s">
        <v>59</v>
      </c>
      <c r="H33" s="169"/>
      <c r="I33" s="169"/>
    </row>
    <row r="34" spans="1:9" x14ac:dyDescent="0.3">
      <c r="A34"/>
    </row>
    <row r="35" spans="1:9" ht="12.75" hidden="1" customHeight="1" x14ac:dyDescent="0.25">
      <c r="A35" s="8"/>
      <c r="B35" s="8"/>
      <c r="C35" s="8"/>
      <c r="D35" s="8"/>
      <c r="E35" s="8"/>
      <c r="F35" s="8"/>
      <c r="G35" s="8"/>
      <c r="H35" s="8"/>
      <c r="I35" s="8"/>
    </row>
  </sheetData>
  <mergeCells count="80">
    <mergeCell ref="A35:I35"/>
    <mergeCell ref="A32:C32"/>
    <mergeCell ref="D32:F32"/>
    <mergeCell ref="G32:I32"/>
    <mergeCell ref="A33:C33"/>
    <mergeCell ref="D33:F33"/>
    <mergeCell ref="G33:I33"/>
    <mergeCell ref="A30:C30"/>
    <mergeCell ref="D30:F30"/>
    <mergeCell ref="G30:I30"/>
    <mergeCell ref="A31:C31"/>
    <mergeCell ref="D31:F31"/>
    <mergeCell ref="G31:I31"/>
    <mergeCell ref="A27:B27"/>
    <mergeCell ref="D27:E27"/>
    <mergeCell ref="G27:H27"/>
    <mergeCell ref="A29:C29"/>
    <mergeCell ref="D29:F29"/>
    <mergeCell ref="G29:I29"/>
    <mergeCell ref="G23:H23"/>
    <mergeCell ref="A25:B25"/>
    <mergeCell ref="A26:B26"/>
    <mergeCell ref="D26:E26"/>
    <mergeCell ref="G26:H26"/>
    <mergeCell ref="A21:B21"/>
    <mergeCell ref="D21:E21"/>
    <mergeCell ref="G21:H21"/>
    <mergeCell ref="A22:B22"/>
    <mergeCell ref="D22:E22"/>
    <mergeCell ref="G22:H22"/>
    <mergeCell ref="D18:E18"/>
    <mergeCell ref="G18:H18"/>
    <mergeCell ref="D19:E19"/>
    <mergeCell ref="G19:H19"/>
    <mergeCell ref="A20:B20"/>
    <mergeCell ref="D20:E20"/>
    <mergeCell ref="G20:H20"/>
    <mergeCell ref="D15:E15"/>
    <mergeCell ref="G15:H15"/>
    <mergeCell ref="D16:E16"/>
    <mergeCell ref="G16:H16"/>
    <mergeCell ref="D17:E17"/>
    <mergeCell ref="G17:H17"/>
    <mergeCell ref="A12:I12"/>
    <mergeCell ref="B13:C13"/>
    <mergeCell ref="E13:F13"/>
    <mergeCell ref="H13:I13"/>
    <mergeCell ref="D14:E14"/>
    <mergeCell ref="G14:H14"/>
    <mergeCell ref="I8:I9"/>
    <mergeCell ref="A10:B11"/>
    <mergeCell ref="C10:D11"/>
    <mergeCell ref="E10:E11"/>
    <mergeCell ref="F10:G11"/>
    <mergeCell ref="H10:H11"/>
    <mergeCell ref="I10:I11"/>
    <mergeCell ref="A8:B9"/>
    <mergeCell ref="C8:D9"/>
    <mergeCell ref="E8:E9"/>
    <mergeCell ref="F8:G9"/>
    <mergeCell ref="H8:H9"/>
    <mergeCell ref="I4:I5"/>
    <mergeCell ref="A6:B7"/>
    <mergeCell ref="C6:D7"/>
    <mergeCell ref="E6:E7"/>
    <mergeCell ref="F6:G7"/>
    <mergeCell ref="H6:H7"/>
    <mergeCell ref="I6:I7"/>
    <mergeCell ref="A4:B5"/>
    <mergeCell ref="C4:D5"/>
    <mergeCell ref="E4:E5"/>
    <mergeCell ref="F4:G5"/>
    <mergeCell ref="H4:H5"/>
    <mergeCell ref="A1:I1"/>
    <mergeCell ref="A2:B3"/>
    <mergeCell ref="C2:D3"/>
    <mergeCell ref="E2:E3"/>
    <mergeCell ref="F2:G3"/>
    <mergeCell ref="H2:H3"/>
    <mergeCell ref="I2:I3"/>
  </mergeCells>
  <pageMargins left="0.39374999999999999" right="0.39374999999999999" top="0.59097222222222201" bottom="0.59097222222222201" header="0.511811023622047" footer="0.511811023622047"/>
  <pageSetup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36"/>
  <sheetViews>
    <sheetView zoomScaleNormal="100" workbookViewId="0">
      <selection activeCell="A36" sqref="A36"/>
    </sheetView>
  </sheetViews>
  <sheetFormatPr defaultColWidth="12.109375" defaultRowHeight="14.4" x14ac:dyDescent="0.3"/>
  <cols>
    <col min="1" max="1" width="9.109375" style="22" customWidth="1"/>
    <col min="2" max="2" width="12.88671875" style="22" customWidth="1"/>
    <col min="3" max="3" width="22.88671875" style="22" customWidth="1"/>
    <col min="4" max="4" width="10" style="22" customWidth="1"/>
    <col min="5" max="5" width="14" style="22" customWidth="1"/>
    <col min="6" max="6" width="22.88671875" style="22" customWidth="1"/>
    <col min="7" max="7" width="9.109375" style="22" customWidth="1"/>
    <col min="8" max="8" width="17.109375" style="22" customWidth="1"/>
    <col min="9" max="9" width="22.88671875" style="22" customWidth="1"/>
  </cols>
  <sheetData>
    <row r="1" spans="1:9" ht="54.75" customHeight="1" x14ac:dyDescent="0.25">
      <c r="A1" s="172" t="s">
        <v>918</v>
      </c>
      <c r="B1" s="172"/>
      <c r="C1" s="172"/>
      <c r="D1" s="172"/>
      <c r="E1" s="172"/>
      <c r="F1" s="172"/>
      <c r="G1" s="172"/>
      <c r="H1" s="172"/>
      <c r="I1" s="172"/>
    </row>
    <row r="2" spans="1:9" ht="15" customHeight="1" x14ac:dyDescent="0.25">
      <c r="A2" s="13" t="s">
        <v>1</v>
      </c>
      <c r="B2" s="13"/>
      <c r="C2" s="12" t="str">
        <f>'Stavební rozpočet'!D2</f>
        <v>DEMOLICE PANELOVÉHO DOMU V HORNÍM PARKU</v>
      </c>
      <c r="D2" s="12"/>
      <c r="E2" s="11" t="s">
        <v>2</v>
      </c>
      <c r="F2" s="11" t="str">
        <f>'Stavební rozpočet'!J2</f>
        <v>MĚSTO ZNOJMO</v>
      </c>
      <c r="G2" s="11"/>
      <c r="H2" s="11" t="s">
        <v>3</v>
      </c>
      <c r="I2" s="10"/>
    </row>
    <row r="3" spans="1:9" ht="15" customHeight="1" x14ac:dyDescent="0.25">
      <c r="A3" s="13"/>
      <c r="B3" s="13"/>
      <c r="C3" s="12"/>
      <c r="D3" s="12"/>
      <c r="E3" s="11"/>
      <c r="F3" s="11"/>
      <c r="G3" s="11"/>
      <c r="H3" s="11"/>
      <c r="I3" s="10"/>
    </row>
    <row r="4" spans="1:9" ht="15" customHeight="1" x14ac:dyDescent="0.25">
      <c r="A4" s="9" t="s">
        <v>4</v>
      </c>
      <c r="B4" s="9"/>
      <c r="C4" s="8" t="str">
        <f>'Stavební rozpočet'!D4</f>
        <v>Postupná demolice panelového domu</v>
      </c>
      <c r="D4" s="8"/>
      <c r="E4" s="8" t="s">
        <v>5</v>
      </c>
      <c r="F4" s="8" t="str">
        <f>'Stavební rozpočet'!J4</f>
        <v>Ing.  Roman Zvěřina, Dolní Česká 358/25, 669 02 Znojmo</v>
      </c>
      <c r="G4" s="8"/>
      <c r="H4" s="8" t="s">
        <v>3</v>
      </c>
      <c r="I4" s="7" t="s">
        <v>6</v>
      </c>
    </row>
    <row r="5" spans="1:9" ht="15" customHeight="1" x14ac:dyDescent="0.25">
      <c r="A5" s="9"/>
      <c r="B5" s="9"/>
      <c r="C5" s="8"/>
      <c r="D5" s="8"/>
      <c r="E5" s="8"/>
      <c r="F5" s="8"/>
      <c r="G5" s="8"/>
      <c r="H5" s="8"/>
      <c r="I5" s="7"/>
    </row>
    <row r="6" spans="1:9" ht="15" customHeight="1" x14ac:dyDescent="0.25">
      <c r="A6" s="9" t="s">
        <v>7</v>
      </c>
      <c r="B6" s="9"/>
      <c r="C6" s="8" t="str">
        <f>'Stavební rozpočet'!D6</f>
        <v>k.ú.Znojmo-město parc.č.258/5</v>
      </c>
      <c r="D6" s="8"/>
      <c r="E6" s="8" t="s">
        <v>8</v>
      </c>
      <c r="F6" s="8" t="str">
        <f>'Stavební rozpočet'!J6</f>
        <v> </v>
      </c>
      <c r="G6" s="8"/>
      <c r="H6" s="8" t="s">
        <v>3</v>
      </c>
      <c r="I6" s="7"/>
    </row>
    <row r="7" spans="1:9" ht="15" customHeight="1" x14ac:dyDescent="0.25">
      <c r="A7" s="9"/>
      <c r="B7" s="9"/>
      <c r="C7" s="8"/>
      <c r="D7" s="8"/>
      <c r="E7" s="8"/>
      <c r="F7" s="8"/>
      <c r="G7" s="8"/>
      <c r="H7" s="8"/>
      <c r="I7" s="7"/>
    </row>
    <row r="8" spans="1:9" ht="15" customHeight="1" x14ac:dyDescent="0.25">
      <c r="A8" s="9" t="s">
        <v>9</v>
      </c>
      <c r="B8" s="9"/>
      <c r="C8" s="8" t="str">
        <f>'Stavební rozpočet'!H4</f>
        <v xml:space="preserve"> </v>
      </c>
      <c r="D8" s="8"/>
      <c r="E8" s="8" t="s">
        <v>10</v>
      </c>
      <c r="F8" s="8" t="str">
        <f>'Stavební rozpočet'!H6</f>
        <v xml:space="preserve"> </v>
      </c>
      <c r="G8" s="8"/>
      <c r="H8" s="6" t="s">
        <v>11</v>
      </c>
      <c r="I8" s="5">
        <v>85</v>
      </c>
    </row>
    <row r="9" spans="1:9" ht="13.2" x14ac:dyDescent="0.25">
      <c r="A9" s="9"/>
      <c r="B9" s="9"/>
      <c r="C9" s="8"/>
      <c r="D9" s="8"/>
      <c r="E9" s="8"/>
      <c r="F9" s="8"/>
      <c r="G9" s="8"/>
      <c r="H9" s="6"/>
      <c r="I9" s="5"/>
    </row>
    <row r="10" spans="1:9" ht="15" customHeight="1" x14ac:dyDescent="0.25">
      <c r="A10" s="4" t="s">
        <v>12</v>
      </c>
      <c r="B10" s="4"/>
      <c r="C10" s="3" t="str">
        <f>'Stavební rozpočet'!D8</f>
        <v>80331</v>
      </c>
      <c r="D10" s="3"/>
      <c r="E10" s="3" t="s">
        <v>13</v>
      </c>
      <c r="F10" s="3" t="str">
        <f>'Stavební rozpočet'!J8</f>
        <v>Bohuslav Hemala</v>
      </c>
      <c r="G10" s="3"/>
      <c r="H10" s="2" t="s">
        <v>14</v>
      </c>
      <c r="I10" s="1" t="str">
        <f>'Stavební rozpočet'!H8</f>
        <v>16.05.2025</v>
      </c>
    </row>
    <row r="11" spans="1:9" ht="13.2" x14ac:dyDescent="0.25">
      <c r="A11" s="4"/>
      <c r="B11" s="4"/>
      <c r="C11" s="3"/>
      <c r="D11" s="3"/>
      <c r="E11" s="3"/>
      <c r="F11" s="3"/>
      <c r="G11" s="3"/>
      <c r="H11" s="2"/>
      <c r="I11" s="1"/>
    </row>
    <row r="13" spans="1:9" ht="15.6" x14ac:dyDescent="0.3">
      <c r="A13" s="173" t="s">
        <v>75</v>
      </c>
      <c r="B13" s="173"/>
      <c r="C13" s="173"/>
      <c r="D13" s="173"/>
      <c r="E13" s="173"/>
    </row>
    <row r="14" spans="1:9" ht="13.2" x14ac:dyDescent="0.25">
      <c r="A14" s="174" t="s">
        <v>76</v>
      </c>
      <c r="B14" s="174"/>
      <c r="C14" s="174"/>
      <c r="D14" s="174"/>
      <c r="E14" s="174"/>
      <c r="F14" s="39" t="s">
        <v>77</v>
      </c>
      <c r="G14" s="39" t="s">
        <v>78</v>
      </c>
      <c r="H14" s="39" t="s">
        <v>79</v>
      </c>
      <c r="I14" s="39" t="s">
        <v>77</v>
      </c>
    </row>
    <row r="15" spans="1:9" ht="13.2" x14ac:dyDescent="0.25">
      <c r="A15" s="175" t="s">
        <v>38</v>
      </c>
      <c r="B15" s="175"/>
      <c r="C15" s="175"/>
      <c r="D15" s="175"/>
      <c r="E15" s="175"/>
      <c r="F15" s="40">
        <v>0</v>
      </c>
      <c r="G15" s="41"/>
      <c r="H15" s="41"/>
      <c r="I15" s="40">
        <f>F15</f>
        <v>0</v>
      </c>
    </row>
    <row r="16" spans="1:9" ht="13.2" x14ac:dyDescent="0.25">
      <c r="A16" s="175" t="s">
        <v>40</v>
      </c>
      <c r="B16" s="175"/>
      <c r="C16" s="175"/>
      <c r="D16" s="175"/>
      <c r="E16" s="175"/>
      <c r="F16" s="40">
        <v>0</v>
      </c>
      <c r="G16" s="41"/>
      <c r="H16" s="41"/>
      <c r="I16" s="40">
        <f>F16</f>
        <v>0</v>
      </c>
    </row>
    <row r="17" spans="1:9" ht="13.2" x14ac:dyDescent="0.25">
      <c r="A17" s="176" t="s">
        <v>42</v>
      </c>
      <c r="B17" s="176"/>
      <c r="C17" s="176"/>
      <c r="D17" s="176"/>
      <c r="E17" s="176"/>
      <c r="F17" s="42">
        <v>0</v>
      </c>
      <c r="G17" s="17"/>
      <c r="H17" s="17"/>
      <c r="I17" s="42">
        <f>F17</f>
        <v>0</v>
      </c>
    </row>
    <row r="18" spans="1:9" ht="13.2" x14ac:dyDescent="0.25">
      <c r="A18" s="177" t="s">
        <v>80</v>
      </c>
      <c r="B18" s="177"/>
      <c r="C18" s="177"/>
      <c r="D18" s="177"/>
      <c r="E18" s="177"/>
      <c r="F18" s="43"/>
      <c r="G18" s="44"/>
      <c r="H18" s="44"/>
      <c r="I18" s="45">
        <f>SUM(I15:I17)</f>
        <v>0</v>
      </c>
    </row>
    <row r="20" spans="1:9" ht="13.2" x14ac:dyDescent="0.25">
      <c r="A20" s="174" t="s">
        <v>81</v>
      </c>
      <c r="B20" s="174"/>
      <c r="C20" s="174"/>
      <c r="D20" s="174"/>
      <c r="E20" s="174"/>
      <c r="F20" s="39" t="s">
        <v>77</v>
      </c>
      <c r="G20" s="39" t="s">
        <v>78</v>
      </c>
      <c r="H20" s="39" t="s">
        <v>79</v>
      </c>
      <c r="I20" s="39" t="s">
        <v>77</v>
      </c>
    </row>
    <row r="21" spans="1:9" ht="13.2" x14ac:dyDescent="0.25">
      <c r="A21" s="175" t="s">
        <v>82</v>
      </c>
      <c r="B21" s="175"/>
      <c r="C21" s="175"/>
      <c r="D21" s="175"/>
      <c r="E21" s="175"/>
      <c r="F21" s="40">
        <v>0</v>
      </c>
      <c r="G21" s="41"/>
      <c r="H21" s="41"/>
      <c r="I21" s="40">
        <f t="shared" ref="I21:I26" si="0">F21</f>
        <v>0</v>
      </c>
    </row>
    <row r="22" spans="1:9" ht="13.2" x14ac:dyDescent="0.25">
      <c r="A22" s="175" t="s">
        <v>83</v>
      </c>
      <c r="B22" s="175"/>
      <c r="C22" s="175"/>
      <c r="D22" s="175"/>
      <c r="E22" s="175"/>
      <c r="F22" s="40">
        <v>0</v>
      </c>
      <c r="G22" s="41"/>
      <c r="H22" s="41"/>
      <c r="I22" s="40">
        <f t="shared" si="0"/>
        <v>0</v>
      </c>
    </row>
    <row r="23" spans="1:9" ht="13.2" x14ac:dyDescent="0.25">
      <c r="A23" s="175" t="s">
        <v>84</v>
      </c>
      <c r="B23" s="175"/>
      <c r="C23" s="175"/>
      <c r="D23" s="175"/>
      <c r="E23" s="175"/>
      <c r="F23" s="40">
        <v>0</v>
      </c>
      <c r="G23" s="41"/>
      <c r="H23" s="41"/>
      <c r="I23" s="40">
        <f t="shared" si="0"/>
        <v>0</v>
      </c>
    </row>
    <row r="24" spans="1:9" ht="13.2" x14ac:dyDescent="0.25">
      <c r="A24" s="175" t="s">
        <v>85</v>
      </c>
      <c r="B24" s="175"/>
      <c r="C24" s="175"/>
      <c r="D24" s="175"/>
      <c r="E24" s="175"/>
      <c r="F24" s="40">
        <v>0</v>
      </c>
      <c r="G24" s="41"/>
      <c r="H24" s="41"/>
      <c r="I24" s="40">
        <f t="shared" si="0"/>
        <v>0</v>
      </c>
    </row>
    <row r="25" spans="1:9" ht="13.2" x14ac:dyDescent="0.25">
      <c r="A25" s="175" t="s">
        <v>86</v>
      </c>
      <c r="B25" s="175"/>
      <c r="C25" s="175"/>
      <c r="D25" s="175"/>
      <c r="E25" s="175"/>
      <c r="F25" s="40">
        <v>0</v>
      </c>
      <c r="G25" s="41"/>
      <c r="H25" s="41"/>
      <c r="I25" s="40">
        <f t="shared" si="0"/>
        <v>0</v>
      </c>
    </row>
    <row r="26" spans="1:9" ht="13.2" x14ac:dyDescent="0.25">
      <c r="A26" s="176" t="s">
        <v>87</v>
      </c>
      <c r="B26" s="176"/>
      <c r="C26" s="176"/>
      <c r="D26" s="176"/>
      <c r="E26" s="176"/>
      <c r="F26" s="42">
        <v>0</v>
      </c>
      <c r="G26" s="17"/>
      <c r="H26" s="17"/>
      <c r="I26" s="42">
        <f t="shared" si="0"/>
        <v>0</v>
      </c>
    </row>
    <row r="27" spans="1:9" ht="13.2" x14ac:dyDescent="0.25">
      <c r="A27" s="177" t="s">
        <v>88</v>
      </c>
      <c r="B27" s="177"/>
      <c r="C27" s="177"/>
      <c r="D27" s="177"/>
      <c r="E27" s="177"/>
      <c r="F27" s="43"/>
      <c r="G27" s="44"/>
      <c r="H27" s="44"/>
      <c r="I27" s="45">
        <f>SUM(I21:I26)</f>
        <v>0</v>
      </c>
    </row>
    <row r="29" spans="1:9" ht="15.6" x14ac:dyDescent="0.25">
      <c r="A29" s="178" t="s">
        <v>89</v>
      </c>
      <c r="B29" s="178"/>
      <c r="C29" s="178"/>
      <c r="D29" s="178"/>
      <c r="E29" s="178"/>
      <c r="F29" s="179">
        <f>I18+I27</f>
        <v>0</v>
      </c>
      <c r="G29" s="179"/>
      <c r="H29" s="179"/>
      <c r="I29" s="179"/>
    </row>
    <row r="33" spans="1:9" ht="15.6" x14ac:dyDescent="0.3">
      <c r="A33" s="173" t="s">
        <v>90</v>
      </c>
      <c r="B33" s="173"/>
      <c r="C33" s="173"/>
      <c r="D33" s="173"/>
      <c r="E33" s="173"/>
    </row>
    <row r="34" spans="1:9" ht="13.2" x14ac:dyDescent="0.25">
      <c r="A34" s="174" t="s">
        <v>91</v>
      </c>
      <c r="B34" s="174"/>
      <c r="C34" s="174"/>
      <c r="D34" s="174"/>
      <c r="E34" s="174"/>
      <c r="F34" s="39" t="s">
        <v>77</v>
      </c>
      <c r="G34" s="39" t="s">
        <v>78</v>
      </c>
      <c r="H34" s="39" t="s">
        <v>79</v>
      </c>
      <c r="I34" s="39" t="s">
        <v>77</v>
      </c>
    </row>
    <row r="35" spans="1:9" ht="13.2" x14ac:dyDescent="0.25">
      <c r="A35" s="176"/>
      <c r="B35" s="176"/>
      <c r="C35" s="176"/>
      <c r="D35" s="176"/>
      <c r="E35" s="176"/>
      <c r="F35" s="42">
        <v>0</v>
      </c>
      <c r="G35" s="17"/>
      <c r="H35" s="17"/>
      <c r="I35" s="42">
        <f>F35</f>
        <v>0</v>
      </c>
    </row>
    <row r="36" spans="1:9" ht="13.2" x14ac:dyDescent="0.25">
      <c r="A36" s="177" t="s">
        <v>92</v>
      </c>
      <c r="B36" s="177"/>
      <c r="C36" s="177"/>
      <c r="D36" s="177"/>
      <c r="E36" s="177"/>
      <c r="F36" s="43"/>
      <c r="G36" s="44"/>
      <c r="H36" s="44"/>
      <c r="I36" s="45">
        <f>SUM(I35)</f>
        <v>0</v>
      </c>
    </row>
  </sheetData>
  <mergeCells count="51">
    <mergeCell ref="F29:I29"/>
    <mergeCell ref="A33:E33"/>
    <mergeCell ref="A34:E34"/>
    <mergeCell ref="A35:E35"/>
    <mergeCell ref="A36:E36"/>
    <mergeCell ref="A24:E24"/>
    <mergeCell ref="A25:E25"/>
    <mergeCell ref="A26:E26"/>
    <mergeCell ref="A27:E27"/>
    <mergeCell ref="A29:E29"/>
    <mergeCell ref="A18:E18"/>
    <mergeCell ref="A20:E20"/>
    <mergeCell ref="A21:E21"/>
    <mergeCell ref="A22:E22"/>
    <mergeCell ref="A23:E23"/>
    <mergeCell ref="A13:E13"/>
    <mergeCell ref="A14:E14"/>
    <mergeCell ref="A15:E15"/>
    <mergeCell ref="A16:E16"/>
    <mergeCell ref="A17:E17"/>
    <mergeCell ref="I8:I9"/>
    <mergeCell ref="A10:B11"/>
    <mergeCell ref="C10:D11"/>
    <mergeCell ref="E10:E11"/>
    <mergeCell ref="F10:G11"/>
    <mergeCell ref="H10:H11"/>
    <mergeCell ref="I10:I11"/>
    <mergeCell ref="A8:B9"/>
    <mergeCell ref="C8:D9"/>
    <mergeCell ref="E8:E9"/>
    <mergeCell ref="F8:G9"/>
    <mergeCell ref="H8:H9"/>
    <mergeCell ref="I4:I5"/>
    <mergeCell ref="A6:B7"/>
    <mergeCell ref="C6:D7"/>
    <mergeCell ref="E6:E7"/>
    <mergeCell ref="F6:G7"/>
    <mergeCell ref="H6:H7"/>
    <mergeCell ref="I6:I7"/>
    <mergeCell ref="A4:B5"/>
    <mergeCell ref="C4:D5"/>
    <mergeCell ref="E4:E5"/>
    <mergeCell ref="F4:G5"/>
    <mergeCell ref="H4:H5"/>
    <mergeCell ref="A1:I1"/>
    <mergeCell ref="A2:B3"/>
    <mergeCell ref="C2:D3"/>
    <mergeCell ref="E2:E3"/>
    <mergeCell ref="F2:G3"/>
    <mergeCell ref="H2:H3"/>
    <mergeCell ref="I2:I3"/>
  </mergeCells>
  <pageMargins left="0.39374999999999999" right="0.39374999999999999" top="0.59097222222222201" bottom="0.59097222222222201" header="0.511811023622047" footer="0.511811023622047"/>
  <pageSetup fitToHeight="0"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TotalTime>119</TotalTime>
  <Application>Microsoft Excel</Application>
  <DocSecurity>0</DocSecurity>
  <ScaleCrop>false</ScaleCrop>
  <HeadingPairs>
    <vt:vector size="4" baseType="variant">
      <vt:variant>
        <vt:lpstr>Listy</vt:lpstr>
      </vt:variant>
      <vt:variant>
        <vt:i4>27</vt:i4>
      </vt:variant>
      <vt:variant>
        <vt:lpstr>Pojmenované oblasti</vt:lpstr>
      </vt:variant>
      <vt:variant>
        <vt:i4>32</vt:i4>
      </vt:variant>
    </vt:vector>
  </HeadingPairs>
  <TitlesOfParts>
    <vt:vector size="59" baseType="lpstr">
      <vt:lpstr>Vyplnění-manuál </vt:lpstr>
      <vt:lpstr>Krycí list rozpočtu</vt:lpstr>
      <vt:lpstr>VORN</vt:lpstr>
      <vt:lpstr>Rozpočet - objekty</vt:lpstr>
      <vt:lpstr>Stavební rozpočet</vt:lpstr>
      <vt:lpstr>Výkaz výměr</vt:lpstr>
      <vt:lpstr>Popisy - Komentáře RTS</vt:lpstr>
      <vt:lpstr>Krycí list rozpočtu (SO 01.1)</vt:lpstr>
      <vt:lpstr>VORN objektu (SO 01.1)</vt:lpstr>
      <vt:lpstr>Stavební rozpočet (SO 01.1)</vt:lpstr>
      <vt:lpstr>Výkaz výměr (SO 01.1)</vt:lpstr>
      <vt:lpstr>Krycí list rozpočtu (SO 01.2)</vt:lpstr>
      <vt:lpstr>VORN objektu (SO 01.2)</vt:lpstr>
      <vt:lpstr>Stavební rozpočet (SO 01.2)</vt:lpstr>
      <vt:lpstr>Výkaz výměr (SO 01.2)</vt:lpstr>
      <vt:lpstr>Krycí list rozpočtu (SO 01.3)</vt:lpstr>
      <vt:lpstr>VORN objektu (SO 01.3)</vt:lpstr>
      <vt:lpstr>Stavební rozpočet (SO 01.3)</vt:lpstr>
      <vt:lpstr>Výkaz výměr (SO 01.3)</vt:lpstr>
      <vt:lpstr>Krycí list rozpočtu (VORN)</vt:lpstr>
      <vt:lpstr>VORN objektu (VORN)</vt:lpstr>
      <vt:lpstr>Stavební rozpočet (VORN)</vt:lpstr>
      <vt:lpstr>Výkaz výměr (VORN)</vt:lpstr>
      <vt:lpstr>Krycí list rozpočtu (ZS)</vt:lpstr>
      <vt:lpstr>VORN objektu (ZS)</vt:lpstr>
      <vt:lpstr>Stavební rozpočet (ZS)</vt:lpstr>
      <vt:lpstr>Výkaz výměr (ZS)</vt:lpstr>
      <vt:lpstr>'Vyplnění-manuál '!_xlnm_Print_Area</vt:lpstr>
      <vt:lpstr>'Vyplnění-manuál '!Excel_BuiltIn_Print_Area</vt:lpstr>
      <vt:lpstr>'Popisy - Komentáře RTS'!Názvy_tisku</vt:lpstr>
      <vt:lpstr>'Stavební rozpočet'!Názvy_tisku</vt:lpstr>
      <vt:lpstr>'Stavební rozpočet (SO 01.1)'!Názvy_tisku</vt:lpstr>
      <vt:lpstr>'Stavební rozpočet (ZS)'!Názvy_tisku</vt:lpstr>
      <vt:lpstr>'Výkaz výměr'!Názvy_tisku</vt:lpstr>
      <vt:lpstr>'Výkaz výměr (SO 01.1)'!Názvy_tisku</vt:lpstr>
      <vt:lpstr>'Výkaz výměr (SO 01.3)'!Názvy_tisku</vt:lpstr>
      <vt:lpstr>'Výkaz výměr (ZS)'!Názvy_tisku</vt:lpstr>
      <vt:lpstr>'Krycí list rozpočtu'!Oblast_tisku</vt:lpstr>
      <vt:lpstr>'Krycí list rozpočtu (SO 01.1)'!Oblast_tisku</vt:lpstr>
      <vt:lpstr>'Krycí list rozpočtu (SO 01.2)'!Oblast_tisku</vt:lpstr>
      <vt:lpstr>'Krycí list rozpočtu (SO 01.3)'!Oblast_tisku</vt:lpstr>
      <vt:lpstr>'Krycí list rozpočtu (VORN)'!Oblast_tisku</vt:lpstr>
      <vt:lpstr>'Krycí list rozpočtu (ZS)'!Oblast_tisku</vt:lpstr>
      <vt:lpstr>'Popisy - Komentáře RTS'!Oblast_tisku</vt:lpstr>
      <vt:lpstr>'Rozpočet - objekty'!Oblast_tisku</vt:lpstr>
      <vt:lpstr>'Stavební rozpočet'!Oblast_tisku</vt:lpstr>
      <vt:lpstr>'Stavební rozpočet (SO 01.1)'!Oblast_tisku</vt:lpstr>
      <vt:lpstr>'Stavební rozpočet (SO 01.2)'!Oblast_tisku</vt:lpstr>
      <vt:lpstr>'Stavební rozpočet (SO 01.3)'!Oblast_tisku</vt:lpstr>
      <vt:lpstr>'Stavební rozpočet (VORN)'!Oblast_tisku</vt:lpstr>
      <vt:lpstr>'Stavební rozpočet (ZS)'!Oblast_tisku</vt:lpstr>
      <vt:lpstr>'Výkaz výměr'!Oblast_tisku</vt:lpstr>
      <vt:lpstr>'Výkaz výměr (SO 01.1)'!Oblast_tisku</vt:lpstr>
      <vt:lpstr>'Výkaz výměr (SO 01.2)'!Oblast_tisku</vt:lpstr>
      <vt:lpstr>'Výkaz výměr (SO 01.3)'!Oblast_tisku</vt:lpstr>
      <vt:lpstr>'Výkaz výměr (VORN)'!Oblast_tisku</vt:lpstr>
      <vt:lpstr>'Výkaz výměr (ZS)'!Oblast_tisku</vt:lpstr>
      <vt:lpstr>'Vyplnění-manuál '!Oblast_tisku</vt:lpstr>
      <vt:lpstr>vorn_sum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HP</dc:creator>
  <dc:description/>
  <cp:lastModifiedBy>Jančík Michal</cp:lastModifiedBy>
  <cp:revision>34</cp:revision>
  <cp:lastPrinted>2025-05-16T12:21:01Z</cp:lastPrinted>
  <dcterms:created xsi:type="dcterms:W3CDTF">2021-06-10T20:06:38Z</dcterms:created>
  <dcterms:modified xsi:type="dcterms:W3CDTF">2025-06-02T14:56:20Z</dcterms:modified>
  <dc:language>cs-CZ</dc:language>
</cp:coreProperties>
</file>